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C9E586A5-FFF0-484D-89D2-ABCECEC52C82}" xr6:coauthVersionLast="47" xr6:coauthVersionMax="47" xr10:uidLastSave="{00000000-0000-0000-0000-000000000000}"/>
  <bookViews>
    <workbookView xWindow="255" yWindow="165" windowWidth="26505" windowHeight="1581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55" i="5"/>
  <c r="BD27" i="5" l="1"/>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AE27" i="15" l="1"/>
  <c r="AE24" i="15" s="1"/>
  <c r="F28" i="15"/>
  <c r="Z27" i="15"/>
  <c r="Z24" i="15" s="1"/>
  <c r="F30" i="15"/>
  <c r="F31" i="15"/>
  <c r="F33" i="15"/>
  <c r="N27" i="15"/>
  <c r="D24" i="15"/>
  <c r="F29" i="15" l="1"/>
  <c r="R27" i="15"/>
  <c r="R24" i="15" s="1"/>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<sst xmlns="http://schemas.openxmlformats.org/spreadsheetml/2006/main" count="4368" uniqueCount="644">
  <si>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</si>
  <si>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</si>
  <si>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</si>
  <si>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</si>
  <si>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</si>
  <si>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</si>
  <si>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</si>
  <si>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</si>
  <si>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</si>
  <si>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</si>
  <si>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</si>
  <si>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</si>
  <si>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</si>
  <si>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</si>
  <si>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</si>
  <si>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</si>
  <si>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</si>
  <si>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</si>
  <si>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</si>
  <si>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</si>
  <si>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</si>
  <si>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</si>
  <si>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</si>
  <si>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</si>
  <si>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</si>
  <si>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</si>
  <si>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</si>
  <si>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</si>
  <si>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</si>
  <si>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</si>
  <si>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</si>
  <si>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</si>
  <si>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</si>
  <si>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</si>
  <si>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</si>
  <si>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</si>
  <si>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</si>
  <si>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</si>
  <si>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</si>
  <si>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</si>
  <si>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</si>
  <si>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</si>
  <si>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</si>
  <si>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</si>
  <si>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</si>
  <si>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</si>
  <si>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</si>
  <si>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</si>
  <si>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</si>
  <si>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</si>
  <si>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</si>
  <si>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</si>
  <si>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</si>
  <si>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</si>
  <si>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</si>
  <si>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</si>
  <si>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</si>
  <si>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</si>
  <si>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</si>
  <si>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</si>
  <si>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</si>
  <si>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</si>
  <si>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</si>
  <si>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</si>
  <si>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</si>
  <si>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</si>
  <si>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</si>
  <si>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</si>
  <si>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</si>
  <si>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</si>
  <si>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</si>
  <si>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</si>
  <si>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</si>
  <si>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</si>
  <si>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</si>
  <si>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</si>
  <si>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</si>
  <si>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</si>
  <si>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</si>
  <si>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</si>
  <si>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</si>
  <si>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</si>
  <si>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</si>
  <si>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</si>
  <si>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</si>
  <si>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</si>
  <si>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</si>
  <si>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</si>
  <si>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</si>
  <si>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</si>
  <si>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</si>
  <si>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</si>
  <si>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</si>
  <si>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</si>
  <si>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</si>
  <si>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</si>
  <si>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</si>
  <si>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</si>
  <si>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</si>
  <si>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</si>
  <si>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</si>
  <si>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</si>
  <si>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</si>
  <si>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</si>
  <si>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</si>
  <si>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</si>
  <si>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</si>
  <si>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</si>
  <si>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</si>
  <si>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</si>
  <si>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</si>
  <si>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</si>
  <si>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</si>
  <si>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</si>
  <si>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</si>
  <si>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</si>
  <si>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</si>
  <si>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</si>
  <si>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</si>
  <si>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</si>
  <si>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</si>
  <si>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</si>
  <si>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</si>
  <si>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</si>
  <si>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</si>
  <si>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</si>
  <si>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</si>
  <si>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</si>
  <si>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</si>
  <si>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</si>
  <si>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</si>
  <si>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</si>
  <si>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</si>
  <si>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</si>
  <si>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</si>
  <si>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</si>
  <si>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</si>
  <si>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</si>
  <si>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</si>
  <si>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</si>
  <si>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</si>
  <si>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</si>
  <si>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</si>
  <si>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</si>
  <si>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</si>
  <si>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</si>
  <si>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</si>
  <si>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</si>
  <si>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</si>
  <si>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</si>
  <si>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</si>
  <si>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</si>
  <si>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</si>
  <si>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</si>
  <si>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</si>
  <si>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</si>
  <si>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</si>
  <si>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</si>
  <si>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</si>
  <si>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</si>
  <si>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</si>
  <si>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</si>
  <si>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</si>
  <si>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</si>
  <si>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</si>
  <si>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</si>
  <si>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</si>
  <si>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</si>
  <si>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</si>
  <si>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</si>
  <si>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</si>
  <si>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</si>
  <si>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</si>
  <si>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</si>
  <si>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</si>
  <si>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</si>
  <si>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</si>
  <si>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</si>
  <si>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</si>
  <si>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</si>
  <si>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</si>
  <si>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</si>
  <si>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</si>
  <si>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</si>
  <si>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</si>
  <si>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</si>
  <si>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</si>
  <si>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</si>
  <si>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</si>
  <si>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</si>
  <si>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</si>
  <si>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</si>
  <si>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</si>
  <si>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</si>
  <si>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</si>
  <si>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</si>
  <si>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</si>
  <si>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</si>
  <si>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</si>
  <si>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</si>
  <si>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</si>
  <si>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</si>
  <si>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</si>
  <si>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</si>
  <si>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</si>
  <si>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</si>
  <si>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</si>
  <si>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</si>
  <si>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</si>
  <si>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</si>
  <si>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</si>
  <si>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</si>
  <si>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</si>
  <si>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</si>
  <si>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</si>
  <si>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</si>
  <si>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</si>
  <si>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</si>
  <si>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</si>
  <si>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</si>
  <si>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</si>
  <si>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</si>
  <si>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</si>
  <si>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</si>
  <si>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</si>
  <si>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</si>
  <si>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</si>
  <si>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</si>
  <si>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</si>
  <si>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</si>
  <si>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</si>
  <si>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</si>
  <si>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</si>
  <si>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</si>
  <si>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</si>
  <si>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</si>
  <si>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</si>
  <si>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</si>
  <si>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</si>
  <si>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</si>
  <si>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</si>
  <si>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</si>
  <si>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</si>
  <si>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</si>
  <si>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</si>
  <si>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</si>
  <si>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</si>
  <si>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</si>
  <si>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</si>
  <si>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</si>
  <si>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</si>
  <si>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</si>
  <si>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</si>
  <si>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</si>
  <si>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</si>
  <si>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</si>
  <si>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</si>
  <si>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</si>
  <si>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</si>
  <si>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</si>
  <si>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</si>
  <si>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</si>
  <si>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</si>
  <si>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</si>
  <si>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</si>
  <si>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</si>
  <si>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</si>
  <si>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</si>
  <si>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</si>
  <si>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</si>
  <si>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</si>
  <si>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</si>
  <si>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</si>
  <si>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</si>
  <si>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</si>
  <si>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</si>
  <si>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</si>
  <si>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</si>
  <si>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</si>
  <si>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</si>
  <si>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</si>
  <si>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</si>
  <si>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</si>
  <si>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</si>
  <si>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</si>
  <si>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</si>
  <si>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</si>
  <si>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</si>
  <si>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</si>
  <si>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</si>
  <si>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</si>
  <si>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</si>
  <si>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</si>
  <si>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</si>
  <si>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</si>
  <si>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</si>
  <si>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</si>
  <si>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</si>
  <si>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</si>
  <si>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</si>
  <si>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</si>
  <si>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</si>
  <si>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</si>
  <si>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</si>
  <si>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</si>
  <si>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</si>
  <si>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</si>
  <si>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</si>
  <si>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</si>
  <si>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</si>
  <si>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</si>
  <si>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</si>
  <si>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</si>
  <si>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</si>
  <si>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</si>
  <si>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</si>
  <si>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</si>
  <si>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</si>
  <si>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</si>
  <si>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</si>
  <si>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</si>
  <si>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</si>
  <si>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</si>
  <si>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</si>
  <si>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</si>
  <si>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</si>
  <si>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</si>
  <si>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</si>
  <si>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</si>
  <si>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</si>
  <si>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</si>
  <si>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</si>
  <si>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</si>
  <si>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</si>
  <si>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</si>
  <si>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</si>
  <si>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</si>
  <si>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</si>
  <si>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</si>
  <si>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</si>
  <si>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</si>
  <si>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</si>
  <si>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</si>
  <si>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</si>
  <si>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</si>
  <si>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</si>
  <si>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</si>
  <si>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</si>
  <si>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</si>
  <si>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</si>
  <si>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</si>
  <si>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</si>
  <si>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</si>
  <si>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</si>
  <si>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</si>
  <si>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</si>
  <si>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</si>
  <si>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</si>
  <si>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</si>
  <si>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</si>
  <si>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</si>
  <si>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</si>
  <si>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</si>
  <si>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</si>
  <si>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</si>
  <si>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</si>
  <si>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</si>
  <si>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</si>
  <si>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</si>
  <si>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</si>
  <si>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</si>
  <si>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</si>
  <si>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</si>
  <si>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</si>
  <si>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</si>
  <si>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</si>
  <si>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</si>
  <si>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</si>
  <si>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</si>
  <si>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</si>
  <si>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</si>
  <si>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</si>
  <si>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</si>
  <si>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</si>
  <si>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</si>
  <si>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</si>
  <si>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</si>
  <si>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</si>
  <si>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</si>
  <si>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</si>
  <si>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</si>
  <si>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</si>
  <si>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</si>
  <si>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</si>
  <si>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</si>
  <si>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</si>
  <si>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</si>
  <si>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</si>
  <si>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</si>
  <si>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</si>
  <si>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</si>
  <si>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</si>
  <si>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</si>
  <si>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</si>
  <si>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</si>
  <si>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</si>
  <si>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</si>
  <si>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</si>
  <si>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</si>
  <si>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</si>
  <si>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</si>
  <si>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</si>
  <si>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</si>
  <si>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</si>
  <si>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</si>
  <si>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</si>
  <si>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</si>
  <si>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</si>
  <si>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</si>
  <si>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</si>
  <si>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</si>
  <si>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</si>
  <si>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</si>
  <si>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</si>
  <si>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</si>
  <si>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</si>
  <si>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</si>
  <si>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</si>
  <si>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</si>
  <si>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</si>
  <si>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</si>
  <si>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</si>
  <si>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</si>
  <si>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</si>
  <si>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</si>
  <si>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</si>
  <si>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</si>
  <si>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</si>
  <si>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</si>
  <si>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</si>
  <si>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</si>
  <si>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</si>
  <si>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t>
  </si>
  <si>
    <t>Утвержденный план</t>
  </si>
  <si>
    <t>Предложение по корректировке утвержденного плана</t>
  </si>
  <si>
    <t>M_00.0007.000007</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</si>
  <si>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</si>
  <si>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</si>
  <si>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</si>
  <si>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</si>
  <si>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</si>
  <si>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</si>
  <si>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</si>
  <si>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</si>
  <si>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</si>
  <si>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</si>
  <si>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</si>
  <si>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</si>
  <si>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</si>
  <si>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</si>
  <si>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</si>
  <si>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</si>
  <si>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</si>
  <si>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</si>
  <si>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</si>
  <si>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</si>
  <si>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</si>
  <si>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</si>
  <si>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</si>
  <si>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</si>
  <si>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</si>
  <si>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</si>
  <si>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</si>
  <si>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</si>
  <si>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</si>
  <si>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</si>
  <si>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</si>
  <si>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</si>
  <si>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</si>
  <si>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</si>
  <si>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</si>
  <si>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</si>
  <si>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</si>
  <si>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</si>
  <si>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</si>
  <si>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</si>
  <si>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</si>
  <si>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</si>
  <si>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</si>
  <si>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</si>
  <si>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</si>
  <si>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</si>
  <si>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</si>
  <si>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</si>
  <si>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</si>
  <si>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</si>
  <si>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</si>
  <si>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</si>
  <si>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</si>
  <si>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</si>
  <si>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</si>
  <si>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</si>
  <si>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</si>
  <si>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</si>
  <si>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</si>
  <si>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</si>
  <si>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</si>
  <si>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</si>
  <si>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</si>
  <si>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</si>
  <si>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по факту разработки проектно-сметной документации, связанного с ростом стоимости отечественного оборудования. Смещение сроков выполнения работ по замене разъединителей и реконструкции устройств РЗА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</si>
  <si>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СМР, ПНР</t>
  </si>
  <si>
    <t>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</si>
  <si>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</si>
  <si>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</si>
  <si>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</si>
  <si>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АКЦИОНЕРНОЕ ОБЩЕСТВО "РЕМОНТЭНЕРГОМОНТАЖ И СЕРВИС"; ОБЩЕСТВО С ОГРАНИЧЕННОЙ ОТВЕТСТВЕННОСТЬЮ ИНЖИНИРИНГОВАЯ КОМПАНИЯ "НАРАТАЙ ЭНЕРДЖИ"</t>
  </si>
  <si>
    <t>36478,230; 33924,754</t>
  </si>
  <si>
    <t>-</t>
  </si>
  <si>
    <t>36078,00; 33924,754</t>
  </si>
  <si>
    <t>АКЦИОНЕРНОЕ ОБЩЕСТВО "РЕМОНТЭНЕРГОМОНТАЖ И СЕРВИС"</t>
  </si>
  <si>
    <t>да</t>
  </si>
  <si>
    <t>https://com.roseltorg.ru/</t>
  </si>
  <si>
    <t>ИП</t>
  </si>
  <si>
    <t>СМР</t>
  </si>
  <si>
    <t>ИП-23-00070 от 23.03.2023</t>
  </si>
  <si>
    <t>ТМЦ</t>
  </si>
  <si>
    <t>Выключатель баковый элегазовый 110кВ и 220 кВ</t>
  </si>
  <si>
    <t>Аукцион в электронной форме</t>
  </si>
  <si>
    <t>ООО "ПМК Холдинг"; Индивидуальный предприниматель Григорьянц Артем Александрович; ООО "Курс"; ИП Гундров С.А.</t>
  </si>
  <si>
    <t>57 000,00; 57 000,00; 14 000,00; 13 566,00</t>
  </si>
  <si>
    <t>Индивидуальный предприниматель Григорьянц Артем Александрович</t>
  </si>
  <si>
    <t>https://www.roseltorg.ru/</t>
  </si>
  <si>
    <t>ПД</t>
  </si>
  <si>
    <t>ПД-19-00155 от 28.06.2019</t>
  </si>
  <si>
    <t>ПИР, СМР, ПНР</t>
  </si>
  <si>
    <t>Проектно-изыскательские, строительно-монтажные и пусконаладочные работы по реконструкции ПС 220 кВ Восточная в части замены ячеек выключателей 110-220 кВ (7 шт.) с выполнением сопутствующего объема работ и реконструкции ПС 220 кВ Правобережная в части замены ячеек выключателей 220 кВ (3 шт.) с выполнением сопутствующего объема работ</t>
  </si>
  <si>
    <t>Конкурентные переговоры в электронной форме</t>
  </si>
  <si>
    <t>ООО "Энергетический Стандарт"; АО "РЭМиС"</t>
  </si>
  <si>
    <t>20821,00; 20821,00</t>
  </si>
  <si>
    <t>ООО "Энергетический Стандарт"</t>
  </si>
  <si>
    <t>АО "РЭМиС"</t>
  </si>
  <si>
    <t>ИП-19-00124 от 08.07.2019</t>
  </si>
  <si>
    <t>ПИР</t>
  </si>
  <si>
    <t>Выполнение проектно-изыскательских работ по реконструкции ПС 220 кВ Восточная в части замены ячеек выключателей 110-220 кВ (7 шт.) с выполнением сопутствующего объема работ</t>
  </si>
  <si>
    <t>Запрос предложений в электронной форме</t>
  </si>
  <si>
    <t>ОБЩЕСТВО С ОГРАНИЧЕННОЙ ОТВЕТСТВЕННОСТЬЮ "ИНСТИТУТ ПРОЕКТИРОВАНИЯ ЭНЕРГЕТИЧЕСКИХ СИСТЕМ"; ОБЩЕСТВО С ОГРАНИЧЕННОЙ ОТВЕТСТВЕННОСТЬЮ "ТЕХНО БАЗИС"; АКЦИОНЕРНОЕ ОБЩЕСТВО "ПРОЕКТНО-ИНЖЕНЕРНЫЙ ЦЕНТР УРАЛТЭП"; Общество с ограниченной ответственностью "Проектный Центр Сибири"; ОБЩЕСТВО С ОГРАНИЧЕННОЙ ОТВЕТСТВЕННОСТЬЮ "АРСИСПРО"; Индивидуальный предприниматель АНДРЕЕВ АНДРЕЙ ВЛАДИМИРОВИЧ; ОБЩЕСТВО С ОГРАНИЧЕННОЙ ОТВЕТСТВЕННОСТЬЮ "ВЕЛЛЭНЕРДЖИ"; ОБЩЕСТВО С ОГРАНИЧЕННОЙ ОТВЕТСТВЕННОСТЬЮ КОМПАНИЯ "ПРОЕКТСТРОЙ"; АКЦИОНЕРНОЕ ОБЩЕСТВО "ЧЕБОКСАРСКИЙ ЭЛЕКТРОАППАРАТНЫЙ ЗАВОД"; Общество с ограниченной ответственностью "Инженерный Проектный Центр"; АКЦИОНЕРНОЕ ОБЩЕСТВО "РЕМОНТЭНЕРГОМОНТАЖ И СЕРВИС"</t>
  </si>
  <si>
    <t>2 450,00; 2 275,00; 2 473,10; 2 700,00; 2 400,00; 2 700,00; 2 716,70; 2 416,67; 2 666,67; 2 717,70; 2 717,70</t>
  </si>
  <si>
    <t>ОБЩЕСТВО С ОГРАНИЧЕННОЙ ОТВЕТСТВЕННОСТЬЮ "ТЕХНО БАЗИС"; АКЦИОНЕРНОЕ ОБЩЕСТВО "ПРОЕКТНО-ИНЖЕНЕРНЫЙ ЦЕНТР УРАЛТЭП"; ОБЩЕСТВО С ОГРАНИЧЕННОЙ ОТВЕТСТВЕННОСТЬЮ "АРСИСПРО"; Индивидуальный предприниматель АНДРЕЕВ АНДРЕЙ ВЛАДИМИРОВИЧ; ОБЩЕСТВО С ОГРАНИЧЕННОЙ ОТВЕТСТВЕННОСТЬЮ "ВЕЛЛЭНЕРДЖИ"; ОБЩЕСТВО С ОГРАНИЧЕННОЙ ОТВЕТСТВЕННОСТЬЮ КОМПАНИЯ "ПРОЕКТСТРОЙ"; АКЦИОНЕРНОЕ ОБЩЕСТВО "ЧЕБОКСАРСКИЙ ЭЛЕКТРОАППАРАТНЫЙ ЗАВОД"; Общество с ограниченной ответственностью "Инженерный Проектный Центр"; АКЦИОНЕРНОЕ ОБЩЕСТВО "РЕМОНТЭНЕРГОМОНТАЖ И СЕРВИС"</t>
  </si>
  <si>
    <t>2 450,00; 2 490,00</t>
  </si>
  <si>
    <t>ОБЩЕСТВО С ОГРАНИЧЕННОЙ ОТВЕТСТВЕННОСТЬЮ "ИНСТИТУТ ПРОЕКТИРОВАНИЯ ЭНЕРГЕТИЧЕСКИХ СИСТЕМ"</t>
  </si>
  <si>
    <t>ООО  "ИНСТИТУТ ПРОЕКТИРОВАНИЯ ЭНЕРГЕТИЧЕСКИХ СИСТЕМ"</t>
  </si>
  <si>
    <t>ИП-20-00066 от 20.03.2020</t>
  </si>
  <si>
    <t>Поставка разъединителей 110-220 кВ</t>
  </si>
  <si>
    <t>ООО «ИЦС»</t>
  </si>
  <si>
    <t>Общество с ограниченной ответственностью "Инженерный центр Сибири"</t>
  </si>
  <si>
    <t>ПД-23-00052 от 14.03.2023</t>
  </si>
  <si>
    <t xml:space="preserve">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в объеме выполнения работ по 1 ПК 2 этап (яч.ШСВ-220) </t>
  </si>
  <si>
    <t>ИП-22-00075 от 06.04.2022</t>
  </si>
  <si>
    <t>Выполнение проектно-изыскательских работ по проекту "Реконструкция ПС 220 кВ Восточная в части замены ячеек выключателей 110-220 кВ (7 шт.) с выполнением сопутствующего объема работ "</t>
  </si>
  <si>
    <t>ОБЩЕСТВО С ОГРАНИЧЕННОЙ ОТВЕТСТВЕННОСТЬЮ ПРОЕКТНЫЙ ЦЕНТР "ЭКРА";
АКЦИОНЕРНОЕ ОБЩЕСТВО "РЕМОНТЭНЕРГОМОНТАЖ И СЕРВИС";
ОБЩЕСТВО С ОГРАНИЧЕННОЙ ОТВЕТСТВЕННОСТЬЮ "ТЕХНОЛОГИИ ЭФФЕКТИВНОГО ПРОЕКТИРОВАНИЯ";
ОБЩЕСТВО С ОГРАНИЧЕННОЙ ОТВЕТСТВЕННОСТЬЮ "СЕВЕРНЫЙ СТАНДАРТ";
ОБЩЕСТВО С ОГРАНИЧЕННОЙ ОТВЕТСТВЕННОСТЬЮ "ПРОЕКТНЫЙ ЦЕНТР СИБИРИ"</t>
  </si>
  <si>
    <t>4497,11;
4497,11;;
3900,00;
4497,00;
4497,11</t>
  </si>
  <si>
    <t>3208,33;
3150,00;
3706,26;
4312,40;
-</t>
  </si>
  <si>
    <t>ОБЩЕСТВО С ОГРАНИЧЕННОЙ ОТВЕТСТВЕННОСТЬЮ ПРОЕКТНЫЙ ЦЕНТР "ЭКРА"</t>
  </si>
  <si>
    <t>ООО "ПЦ ЭКРА"</t>
  </si>
  <si>
    <t>ИП-22-00216 от 02.08.2022</t>
  </si>
  <si>
    <t>СМР, ПНР, ТМЦ</t>
  </si>
  <si>
    <t>Выполнение строительно-монтажных, пусконаладочных работ по реконструкции ПС 220 кВ АО "Электромагистраль" с поставкой коммутационного оборудования</t>
  </si>
  <si>
    <t>Заключение договора с взаимозависимым юридическим лицом</t>
  </si>
  <si>
    <t>АО РЭМиС</t>
  </si>
  <si>
    <t>нет</t>
  </si>
  <si>
    <t>2.2.1.12</t>
  </si>
  <si>
    <t>ЦЗК</t>
  </si>
  <si>
    <t>Протокол №14</t>
  </si>
  <si>
    <t>Договор расторгнут по соглашению Сторон</t>
  </si>
  <si>
    <t>ИП-20-00157 от 16.06.2020</t>
  </si>
  <si>
    <t>Выполнение проектно-изыскательских работ по проекту "Реконструкция ПС 220 кВ Восточная в части замены ячеек выключателей 110-220 кВ (7 шт.) с выполнением сопутствующего объема работ (в части ШСВ-220, В-220 3АТ,В-Б-1) 2ПК"</t>
  </si>
  <si>
    <t>ОБЩЕСТВО С ОГРАНИЧЕННОЙ ОТВЕТСТВЕННОСТЬЮ ПРОЕКТНЫЙ ЦЕНТР "ЭКРА";
ОБЩЕСТВО С ОГРАНИЧЕННОЙ ОТВЕТСТВЕННОСТЬЮ "РАЗВИТИЕ ОПТИМАЛЬНЫХ СТРАТЕГИЙ ИНВЕСТИРОВАНИЯ В ПРОЕКТИРОВАНИИ";
АКЦИОНЕРНОЕ ОБЩЕСТВО "ЭЛСИ ЭНЕРГОПРОЕКТ";
ОБЩЕСТВО С ОГРАНИЧЕННОЙ ОТВЕТСТВЕННОСТЬЮ "СРЕДНЕВОЛЖСКЭЛЕКТРОПРОЕКТ";
АКЦИОНЕРНОЕ ОБЩЕСТВО "РЕМОНТЭНЕРГОМОНТАЖ И СЕРВИС";
ОБЩЕСТВО С ОГРАНИЧЕННОЙ ОТВЕТСТВЕННОСТЬЮ "ПРОЕКТНЫЙ ЦЕНТР СИБИРИ"</t>
  </si>
  <si>
    <t>6015,90161;
5715,10653;
6015,83333;
6015,90161;
6015,90161;
5835,42456</t>
  </si>
  <si>
    <t>4000,57305;
4030,65256;
4271,28864;
4700;
5414,31;
5835,42456</t>
  </si>
  <si>
    <t>ОБЩЕСТВО С ОГРАНИЧЕННОЙ ОТВЕТСТВЕННОСТЬЮ "ПРОЕКТНЫЙ ЦЕНТР СИБИРИ"</t>
  </si>
  <si>
    <t>ИП-24-00061 от 11.04.2024</t>
  </si>
  <si>
    <t>Выполнение строительно-монтажных и пуско-наладочных работ по проекту  "Реконструкция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 (1ПК ОВ-220)"</t>
  </si>
  <si>
    <t>ИП-25-00094 от 25.03.2025</t>
  </si>
  <si>
    <t>Выполнение строительно-монтажных и пуско-наладочных работ по проекту  "Реконструкция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 (2ПК В-220-3АТ)"</t>
  </si>
  <si>
    <t>Закупочная процедура признана несостоявшейся</t>
  </si>
  <si>
    <t>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(в части 1ПК В-Б-1 и  1ПК В-Б-2)</t>
  </si>
  <si>
    <t>ИП-24-00108 от 03.06.2024</t>
  </si>
  <si>
    <t>ОБЩЕСТВО С ОГРАНИЧЕННОЙ ОТВЕТСТВЕННОСТЬЮ "ВЕЛЛЭНЕРДЖИ";
АКЦИОНЕРНОЕ ОБЩЕСТВО "РЕМОНТЭНЕРГОМОНТАЖ И СЕРВИС";
ОБЩЕСТВО С ОГРАНИЧЕННОЙ ОТВЕТСТВЕННОСТЬЮ "ЭКРА-СИБИРЬ"</t>
  </si>
  <si>
    <t>39860,603;
39860,603;
39860,603</t>
  </si>
  <si>
    <t>39860,603;
39600;
39860,603</t>
  </si>
  <si>
    <t>ОБЩЕСТВО С ОГРАНИЧЕННОЙ ОТВЕТСТВЕННОСТЬЮ "ВЕЛЛЭНЕРДЖИ"</t>
  </si>
  <si>
    <t>ИП-25-00231 от 26.06.2025</t>
  </si>
  <si>
    <t>Поставка выключателей баковых элегазовых ПС 220 кВ Восточная</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</si>
  <si>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</si>
  <si>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t>
  </si>
  <si>
    <t>ПД-23-00286 от 18.08.2023</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</si>
  <si>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</si>
  <si>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</si>
  <si>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</si>
  <si>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772 от 02.11.2022; 
№ 772/1 от 11.09.2023</t>
  </si>
  <si>
    <t>см. комментарии ниже по этапам</t>
  </si>
  <si>
    <t>Смещение сроков выполнения работ по замене разъединителей и реконструкции устройств РЗА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</si>
  <si>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г. Новосибирск</t>
  </si>
  <si>
    <t>не требуется</t>
  </si>
  <si>
    <t>не относится</t>
  </si>
  <si>
    <t>+</t>
  </si>
  <si>
    <t>32,99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</si>
  <si>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</si>
  <si>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</si>
  <si>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Восточная</t>
  </si>
  <si>
    <t>52228,62 тыс. руб. с НДС на 1 выключатель 110 кВ
84 690,09 тыс. руб. с НДС на 1 выключатель 220 кВ</t>
  </si>
  <si>
    <t>1 этап 1-го пускового комплекса - замена ячейки выключателя В-Б-3 110 кВ;
1 этап 2-го пускового комплекса - замена разъединителей, устройств РЗА ячейки выключателя Б-3 110 кВ;
2 этап 1-го пускового комплекса - замена ячейки выключателя В-Б-5 110 кВ;
2 этап 2-го пускового комплекса - замена разъединителей, устройств РЗА ячейки выключателя Б-5 110 кВ;
3 этап 1-го пускового комплекса - замена ячейки выключателя В-220-3АТ;
3 этап 2-го пускового комплекса - замена разъединителей, устройств РЗА ячейки выключателя  В-220-3АТ;
4 этап 1-го пускового комплекса - замена ячейки выключателя ШСВ-220;
4 этап 2-го пускового комплекса - замена разъединителей, устройств РЗА ячейки выключателя  ШСВ-220;
5 этап 1-го пускового комплекса - замена ячейки выключателя В-Б-1 220 кВ;
5 этап 2-го пускового комплекса - замена разъединителей, устройств РЗА ячейки выключателя  В-Б-1 220 кВ;
6 этап 1-го пускового комплекса - замена ячейки выключателя В-Б-2 220 кВ;
6 этап 2-го пускового комплекса - замена разъединителей, устройств РЗА ячейки выключателя  В-Б-2 220 кВ;
7 этап 1-го пускового комплекса - замена ячейки выключателя ОВ-220;
7 этап 2-го пускового комплекса - замена разъединителей, устройств РЗА ячейки выключателя ОВ-220.</t>
  </si>
  <si>
    <t>1.Объект включён в инвестиционную программу на основании оценки технического состояния, подтвержденный индексом технического состояния (ИТС:61,09375;61,875;55,4875;54,6625;61;61;62) рассчитываемый в соответствии с методикой, утверждённой приказом Минэнерго России от 26.07.2017 № 676.
2. Процент износа существующих коммутационных аппаратов от 92% до 100%.
3. Заключение акта технического освидетельствования № ПС-1/09-2020 от 30.05.2020.</t>
  </si>
  <si>
    <t>1С, 2П</t>
  </si>
  <si>
    <t>Сибирский Федеральный округ, Новосибирская область, г. Новосибирск</t>
  </si>
  <si>
    <t>У-220-2000-25</t>
  </si>
  <si>
    <t>Элегазовый выключатель</t>
  </si>
  <si>
    <t>ШСВ-220</t>
  </si>
  <si>
    <t xml:space="preserve">Акт № ПС-1/09-2020 от 30.05.2020
технического освидетельствования ПС 220 кВ Восточная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</si>
  <si>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</si>
  <si>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У-220-1000-10</t>
  </si>
  <si>
    <t>ОВ-220</t>
  </si>
  <si>
    <t>ВМТ-220Б/25-
1250 УХЛ1</t>
  </si>
  <si>
    <t>В-Б-1</t>
  </si>
  <si>
    <t>В-Б-2</t>
  </si>
  <si>
    <t> У-110-2000-40</t>
  </si>
  <si>
    <t>В-Б-3</t>
  </si>
  <si>
    <t> 1983</t>
  </si>
  <si>
    <t> 1985</t>
  </si>
  <si>
    <t>В-Б-5</t>
  </si>
  <si>
    <t> 1986</t>
  </si>
  <si>
    <t> 1987</t>
  </si>
  <si>
    <t>В-220-3АТ</t>
  </si>
  <si>
    <t>1988 </t>
  </si>
  <si>
    <t>2;3;4</t>
  </si>
  <si>
    <t>1;2;3;4</t>
  </si>
  <si>
    <t>2;4</t>
  </si>
  <si>
    <t xml:space="preserve">2;2;1;2;1            </t>
  </si>
  <si>
    <t>75%</t>
  </si>
  <si>
    <t>90%</t>
  </si>
  <si>
    <t>60%</t>
  </si>
  <si>
    <t>0%</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</si>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</sst>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442</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597</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598</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603</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604</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604</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604</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604</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604</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605</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604</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604</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604</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606</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604</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t="s">
        <v>638</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1.2698412698412698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607</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233.96502200417044</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196.65920048801212</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M_00.0007.000007</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443</v>
      </c>
      <c r="I21" s="440"/>
      <c r="J21" s="440" t="s">
        <v>444</v>
      </c>
      <c r="K21" s="440"/>
      <c r="L21" s="440" t="s">
        <v>443</v>
      </c>
      <c r="M21" s="440"/>
      <c r="N21" s="440" t="s">
        <v>444</v>
      </c>
      <c r="O21" s="440"/>
      <c r="P21" s="440" t="s">
        <v>443</v>
      </c>
      <c r="Q21" s="440"/>
      <c r="R21" s="440" t="s">
        <v>444</v>
      </c>
      <c r="S21" s="440"/>
      <c r="T21" s="440" t="s">
        <v>443</v>
      </c>
      <c r="U21" s="440"/>
      <c r="V21" s="440" t="s">
        <v>444</v>
      </c>
      <c r="W21" s="440"/>
      <c r="X21" s="440" t="s">
        <v>443</v>
      </c>
      <c r="Y21" s="440"/>
      <c r="Z21" s="440" t="s">
        <v>444</v>
      </c>
      <c r="AA21" s="440"/>
      <c r="AB21" s="449"/>
      <c r="AC21" s="449"/>
      <c r="AE21" s="440" t="s">
        <v>1</v>
      </c>
      <c r="AF21" s="440"/>
      <c r="AG21" s="440" t="s">
        <v>444</v>
      </c>
      <c r="AH21" s="440"/>
    </row>
    <row r="22" spans="1:34" ht="89.25" customHeight="1" x14ac:dyDescent="0.25">
      <c r="A22" s="445"/>
      <c r="B22" s="440"/>
      <c r="C22" s="249" t="str">
        <f>H21</f>
        <v>Утвержденный план</v>
      </c>
      <c r="D22" s="249" t="s">
        <v>444</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480.86786785270181</v>
      </c>
      <c r="D24" s="261">
        <f t="shared" ref="D24:G24" si="0">D25+D26+D27+D32+D33</f>
        <v>518.13583918463053</v>
      </c>
      <c r="E24" s="262">
        <f>J24+N24+R24+V24+Z24+AE24</f>
        <v>233.96502200417044</v>
      </c>
      <c r="F24" s="262">
        <f t="shared" ref="F24:F26" si="1">N24+R24+V24+Z24+AE24</f>
        <v>176.34134474309667</v>
      </c>
      <c r="G24" s="253">
        <f t="shared" si="0"/>
        <v>59.556006382756436</v>
      </c>
      <c r="H24" s="253">
        <f>H25+H26+H27+H32+H33</f>
        <v>54.509181946642151</v>
      </c>
      <c r="I24" s="253" t="s">
        <v>424</v>
      </c>
      <c r="J24" s="261">
        <f>J25+J26+J27+J32+J33</f>
        <v>57.623677261073752</v>
      </c>
      <c r="K24" s="261" t="s">
        <v>424</v>
      </c>
      <c r="L24" s="253">
        <f>L25+L26+L27+L32+L33</f>
        <v>50.34083267529283</v>
      </c>
      <c r="M24" s="253" t="s">
        <v>424</v>
      </c>
      <c r="N24" s="261">
        <f>N25+N26+N27+N32+N33</f>
        <v>54.509181946642158</v>
      </c>
      <c r="O24" s="261" t="s">
        <v>424</v>
      </c>
      <c r="P24" s="253">
        <f t="shared" ref="P24" si="2">P25+P26+P27+P32+P33</f>
        <v>69.400990297711985</v>
      </c>
      <c r="Q24" s="253" t="s">
        <v>424</v>
      </c>
      <c r="R24" s="261">
        <f>R25+R26+R27+R32+R33</f>
        <v>50.34083267529283</v>
      </c>
      <c r="S24" s="261" t="s">
        <v>424</v>
      </c>
      <c r="T24" s="253">
        <f t="shared" ref="T24" si="3">T25+T26+T27+T32+T33</f>
        <v>0</v>
      </c>
      <c r="U24" s="253" t="s">
        <v>424</v>
      </c>
      <c r="V24" s="261">
        <f>V25+V26+V27+V32+V33</f>
        <v>71.491330121161695</v>
      </c>
      <c r="W24" s="261" t="s">
        <v>424</v>
      </c>
      <c r="X24" s="253">
        <f t="shared" ref="X24" si="4">X25+X26+X27+X32+X33</f>
        <v>0</v>
      </c>
      <c r="Y24" s="253" t="s">
        <v>424</v>
      </c>
      <c r="Z24" s="261">
        <f>Z25+Z26+Z27+Z32+Z33</f>
        <v>0</v>
      </c>
      <c r="AA24" s="261" t="s">
        <v>424</v>
      </c>
      <c r="AB24" s="254">
        <f>H24+L24+P24+T24+X24</f>
        <v>174.25100491964696</v>
      </c>
      <c r="AC24" s="264">
        <f>J24+N24+R24+V24+Z24</f>
        <v>233.96502200417044</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402.17932629397444</v>
      </c>
      <c r="D27" s="261">
        <v>246.42403048801287</v>
      </c>
      <c r="E27" s="264">
        <f>J27+N27+R27+V27+Z27+AE27</f>
        <v>195.99512867120703</v>
      </c>
      <c r="F27" s="264">
        <f t="shared" ref="F27:F68" si="8">N27+R27+V27+Z27+AE27</f>
        <v>147.77098383029755</v>
      </c>
      <c r="G27" s="253">
        <v>45.565800285047985</v>
      </c>
      <c r="H27" s="253">
        <f>SUM(H28:H31)</f>
        <v>44.095030662217141</v>
      </c>
      <c r="I27" s="253" t="s">
        <v>424</v>
      </c>
      <c r="J27" s="261">
        <f>SUM(J28:J31)</f>
        <v>48.224144840909482</v>
      </c>
      <c r="K27" s="261" t="s">
        <v>424</v>
      </c>
      <c r="L27" s="253">
        <f>SUM(L28:L31)</f>
        <v>36.350626577584386</v>
      </c>
      <c r="M27" s="253" t="s">
        <v>424</v>
      </c>
      <c r="N27" s="261">
        <f>SUM(N28:N31)</f>
        <v>45.535724489938964</v>
      </c>
      <c r="O27" s="261" t="s">
        <v>424</v>
      </c>
      <c r="P27" s="253">
        <f>SUM(P28:P31)</f>
        <v>55.368982477160181</v>
      </c>
      <c r="Q27" s="253" t="s">
        <v>424</v>
      </c>
      <c r="R27" s="261">
        <f>SUM(R28:R31)</f>
        <v>42.137470386518167</v>
      </c>
      <c r="S27" s="261" t="s">
        <v>424</v>
      </c>
      <c r="T27" s="253">
        <f>SUM(T28:T31)</f>
        <v>0</v>
      </c>
      <c r="U27" s="253" t="s">
        <v>424</v>
      </c>
      <c r="V27" s="261">
        <f>SUM(V28:V31)</f>
        <v>60.097788953840421</v>
      </c>
      <c r="W27" s="261" t="s">
        <v>424</v>
      </c>
      <c r="X27" s="253">
        <f>SUM(X28:X31)</f>
        <v>0</v>
      </c>
      <c r="Y27" s="253" t="s">
        <v>424</v>
      </c>
      <c r="Z27" s="261">
        <f>SUM(Z28:Z31)</f>
        <v>0</v>
      </c>
      <c r="AA27" s="261" t="s">
        <v>424</v>
      </c>
      <c r="AB27" s="254">
        <f t="shared" si="6"/>
        <v>135.81463971696172</v>
      </c>
      <c r="AC27" s="264">
        <f t="shared" si="7"/>
        <v>195.99512867120703</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4.7907666133079196</v>
      </c>
      <c r="F28" s="264">
        <f t="shared" si="8"/>
        <v>4.7907666133079196</v>
      </c>
      <c r="G28" s="254" t="s">
        <v>424</v>
      </c>
      <c r="H28" s="254">
        <v>4.6391927014582581</v>
      </c>
      <c r="I28" s="255" t="s">
        <v>59</v>
      </c>
      <c r="J28" s="263">
        <v>0</v>
      </c>
      <c r="K28" s="265">
        <v>0</v>
      </c>
      <c r="L28" s="254">
        <v>0</v>
      </c>
      <c r="M28" s="255">
        <v>0</v>
      </c>
      <c r="N28" s="263">
        <v>4.7907666133079196</v>
      </c>
      <c r="O28" s="265" t="s">
        <v>59</v>
      </c>
      <c r="P28" s="254">
        <v>0</v>
      </c>
      <c r="Q28" s="254">
        <v>0</v>
      </c>
      <c r="R28" s="263">
        <v>0</v>
      </c>
      <c r="S28" s="265">
        <v>0</v>
      </c>
      <c r="T28" s="254">
        <v>0</v>
      </c>
      <c r="U28" s="254">
        <v>0</v>
      </c>
      <c r="V28" s="263">
        <v>0</v>
      </c>
      <c r="W28" s="265">
        <v>0</v>
      </c>
      <c r="X28" s="254">
        <v>0</v>
      </c>
      <c r="Y28" s="254">
        <v>0</v>
      </c>
      <c r="Z28" s="263">
        <v>0</v>
      </c>
      <c r="AA28" s="265">
        <v>0</v>
      </c>
      <c r="AB28" s="254">
        <f t="shared" si="6"/>
        <v>4.6391927014582581</v>
      </c>
      <c r="AC28" s="264">
        <f t="shared" si="7"/>
        <v>4.7907666133079196</v>
      </c>
      <c r="AE28" s="274">
        <v>0</v>
      </c>
      <c r="AF28" s="274">
        <v>0</v>
      </c>
      <c r="AG28" s="278">
        <v>0</v>
      </c>
      <c r="AH28" s="278">
        <v>0</v>
      </c>
    </row>
    <row r="29" spans="1:34" ht="31.5" x14ac:dyDescent="0.25">
      <c r="A29" s="58" t="s">
        <v>426</v>
      </c>
      <c r="B29" s="42" t="s">
        <v>166</v>
      </c>
      <c r="C29" s="255" t="s">
        <v>424</v>
      </c>
      <c r="D29" s="265" t="s">
        <v>424</v>
      </c>
      <c r="E29" s="264">
        <f t="shared" si="9"/>
        <v>51.610109502449177</v>
      </c>
      <c r="F29" s="264">
        <f t="shared" si="8"/>
        <v>41.604567382070215</v>
      </c>
      <c r="G29" s="254" t="s">
        <v>424</v>
      </c>
      <c r="H29" s="254">
        <v>9.4347046856540668</v>
      </c>
      <c r="I29" s="255" t="s">
        <v>59</v>
      </c>
      <c r="J29" s="263">
        <v>10.005542120378951</v>
      </c>
      <c r="K29" s="265" t="s">
        <v>637</v>
      </c>
      <c r="L29" s="254">
        <v>9.1037171446680318</v>
      </c>
      <c r="M29" s="255" t="s">
        <v>59</v>
      </c>
      <c r="N29" s="263">
        <v>9.7429598473552392</v>
      </c>
      <c r="O29" s="265" t="s">
        <v>59</v>
      </c>
      <c r="P29" s="254">
        <v>18.28277273010891</v>
      </c>
      <c r="Q29" s="270" t="s">
        <v>59</v>
      </c>
      <c r="R29" s="263">
        <v>10.552984850809658</v>
      </c>
      <c r="S29" s="265" t="s">
        <v>59</v>
      </c>
      <c r="T29" s="254">
        <v>0</v>
      </c>
      <c r="U29" s="270">
        <v>0</v>
      </c>
      <c r="V29" s="263">
        <v>21.308622683905323</v>
      </c>
      <c r="W29" s="265" t="s">
        <v>59</v>
      </c>
      <c r="X29" s="254">
        <v>0</v>
      </c>
      <c r="Y29" s="270">
        <v>0</v>
      </c>
      <c r="Z29" s="263">
        <v>0</v>
      </c>
      <c r="AA29" s="265">
        <v>0</v>
      </c>
      <c r="AB29" s="254">
        <f t="shared" si="6"/>
        <v>36.82119456043101</v>
      </c>
      <c r="AC29" s="264">
        <f t="shared" si="7"/>
        <v>51.610109502449177</v>
      </c>
      <c r="AD29" s="204"/>
      <c r="AE29" s="274">
        <v>0</v>
      </c>
      <c r="AF29" s="276">
        <v>0</v>
      </c>
      <c r="AG29" s="278">
        <v>0</v>
      </c>
      <c r="AH29" s="278">
        <v>0</v>
      </c>
    </row>
    <row r="30" spans="1:34" x14ac:dyDescent="0.25">
      <c r="A30" s="58" t="s">
        <v>427</v>
      </c>
      <c r="B30" s="42" t="s">
        <v>164</v>
      </c>
      <c r="C30" s="255" t="s">
        <v>424</v>
      </c>
      <c r="D30" s="265" t="s">
        <v>424</v>
      </c>
      <c r="E30" s="264">
        <f t="shared" si="9"/>
        <v>109.68129555347991</v>
      </c>
      <c r="F30" s="264">
        <f t="shared" si="8"/>
        <v>79.589117203124744</v>
      </c>
      <c r="G30" s="254" t="s">
        <v>424</v>
      </c>
      <c r="H30" s="254">
        <v>25.400912670874607</v>
      </c>
      <c r="I30" s="255" t="s">
        <v>59</v>
      </c>
      <c r="J30" s="263">
        <v>30.092178350355166</v>
      </c>
      <c r="K30" s="265" t="s">
        <v>637</v>
      </c>
      <c r="L30" s="254">
        <v>22.464990603602018</v>
      </c>
      <c r="M30" s="255" t="s">
        <v>59</v>
      </c>
      <c r="N30" s="263">
        <v>26.230823378585857</v>
      </c>
      <c r="O30" s="265" t="s">
        <v>59</v>
      </c>
      <c r="P30" s="254">
        <v>26.117690827075382</v>
      </c>
      <c r="Q30" s="254" t="s">
        <v>59</v>
      </c>
      <c r="R30" s="263">
        <v>26.041308373936555</v>
      </c>
      <c r="S30" s="265" t="s">
        <v>59</v>
      </c>
      <c r="T30" s="254">
        <v>0</v>
      </c>
      <c r="U30" s="254">
        <v>0</v>
      </c>
      <c r="V30" s="263">
        <v>27.316985450602331</v>
      </c>
      <c r="W30" s="265" t="s">
        <v>59</v>
      </c>
      <c r="X30" s="254">
        <v>0</v>
      </c>
      <c r="Y30" s="254">
        <v>0</v>
      </c>
      <c r="Z30" s="263">
        <v>0</v>
      </c>
      <c r="AA30" s="265">
        <v>0</v>
      </c>
      <c r="AB30" s="254">
        <f t="shared" si="6"/>
        <v>73.983594101552001</v>
      </c>
      <c r="AC30" s="264">
        <f t="shared" si="7"/>
        <v>109.68129555347991</v>
      </c>
      <c r="AD30" s="204"/>
      <c r="AE30" s="274">
        <v>0</v>
      </c>
      <c r="AF30" s="274">
        <v>0</v>
      </c>
      <c r="AG30" s="278">
        <v>0</v>
      </c>
      <c r="AH30" s="278">
        <v>0</v>
      </c>
    </row>
    <row r="31" spans="1:34" x14ac:dyDescent="0.25">
      <c r="A31" s="58" t="s">
        <v>428</v>
      </c>
      <c r="B31" s="42" t="s">
        <v>162</v>
      </c>
      <c r="C31" s="255" t="s">
        <v>424</v>
      </c>
      <c r="D31" s="265" t="s">
        <v>424</v>
      </c>
      <c r="E31" s="264">
        <f t="shared" si="9"/>
        <v>29.912957001970032</v>
      </c>
      <c r="F31" s="264">
        <f t="shared" si="8"/>
        <v>21.786532631794671</v>
      </c>
      <c r="G31" s="254" t="s">
        <v>424</v>
      </c>
      <c r="H31" s="254">
        <v>4.6202206042302159</v>
      </c>
      <c r="I31" s="255" t="s">
        <v>635</v>
      </c>
      <c r="J31" s="263">
        <v>8.1264243701753625</v>
      </c>
      <c r="K31" s="265" t="s">
        <v>636</v>
      </c>
      <c r="L31" s="254">
        <v>4.7819188293143355</v>
      </c>
      <c r="M31" s="255" t="s">
        <v>635</v>
      </c>
      <c r="N31" s="263">
        <v>4.7711746506899475</v>
      </c>
      <c r="O31" s="265" t="s">
        <v>635</v>
      </c>
      <c r="P31" s="254">
        <v>10.968518919975883</v>
      </c>
      <c r="Q31" s="254" t="s">
        <v>636</v>
      </c>
      <c r="R31" s="263">
        <v>5.5431771617719559</v>
      </c>
      <c r="S31" s="265" t="s">
        <v>635</v>
      </c>
      <c r="T31" s="254">
        <v>0</v>
      </c>
      <c r="U31" s="254">
        <v>0</v>
      </c>
      <c r="V31" s="263">
        <v>11.472180819332767</v>
      </c>
      <c r="W31" s="265" t="s">
        <v>636</v>
      </c>
      <c r="X31" s="254">
        <v>0</v>
      </c>
      <c r="Y31" s="254">
        <v>0</v>
      </c>
      <c r="Z31" s="263">
        <v>0</v>
      </c>
      <c r="AA31" s="265">
        <v>0</v>
      </c>
      <c r="AB31" s="254">
        <f t="shared" si="6"/>
        <v>20.370658353520433</v>
      </c>
      <c r="AC31" s="264">
        <f t="shared" si="7"/>
        <v>29.912957001970032</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78.688541558727337</v>
      </c>
      <c r="D33" s="263">
        <v>271.71180869661765</v>
      </c>
      <c r="E33" s="264">
        <f t="shared" si="9"/>
        <v>37.969893332963402</v>
      </c>
      <c r="F33" s="264">
        <f t="shared" si="8"/>
        <v>28.570360912799131</v>
      </c>
      <c r="G33" s="254">
        <v>13.990206097708448</v>
      </c>
      <c r="H33" s="254">
        <v>10.41415128442501</v>
      </c>
      <c r="I33" s="254" t="str">
        <f>I31</f>
        <v>2;3;4</v>
      </c>
      <c r="J33" s="263">
        <v>9.399532420164272</v>
      </c>
      <c r="K33" s="263" t="str">
        <f>K31</f>
        <v>1;2;3;4</v>
      </c>
      <c r="L33" s="254">
        <v>13.990206097708448</v>
      </c>
      <c r="M33" s="254" t="str">
        <f>M31</f>
        <v>2;3;4</v>
      </c>
      <c r="N33" s="263">
        <v>8.9734574567031959</v>
      </c>
      <c r="O33" s="263" t="str">
        <f>O31</f>
        <v>2;3;4</v>
      </c>
      <c r="P33" s="254">
        <v>14.032007820551808</v>
      </c>
      <c r="Q33" s="254" t="str">
        <f>Q31</f>
        <v>1;2;3;4</v>
      </c>
      <c r="R33" s="263">
        <v>8.2033622887746613</v>
      </c>
      <c r="S33" s="263" t="str">
        <f>S31</f>
        <v>2;3;4</v>
      </c>
      <c r="T33" s="254">
        <v>0</v>
      </c>
      <c r="U33" s="254">
        <f>U31</f>
        <v>0</v>
      </c>
      <c r="V33" s="263">
        <v>11.393541167321272</v>
      </c>
      <c r="W33" s="263" t="str">
        <f>W31</f>
        <v>1;2;3;4</v>
      </c>
      <c r="X33" s="254">
        <v>0</v>
      </c>
      <c r="Y33" s="254">
        <f>Y31</f>
        <v>0</v>
      </c>
      <c r="Z33" s="263">
        <v>0</v>
      </c>
      <c r="AA33" s="263">
        <f>AA31</f>
        <v>0</v>
      </c>
      <c r="AB33" s="254">
        <f t="shared" si="6"/>
        <v>38.436365202685266</v>
      </c>
      <c r="AC33" s="264">
        <f t="shared" si="7"/>
        <v>37.969893332963402</v>
      </c>
      <c r="AE33" s="274">
        <v>0</v>
      </c>
      <c r="AF33" s="274">
        <f>AF31</f>
        <v>0</v>
      </c>
      <c r="AG33" s="278">
        <v>0</v>
      </c>
      <c r="AH33" s="278">
        <v>0</v>
      </c>
    </row>
    <row r="34" spans="1:34" ht="47.25" x14ac:dyDescent="0.25">
      <c r="A34" s="60" t="s">
        <v>61</v>
      </c>
      <c r="B34" s="59" t="s">
        <v>170</v>
      </c>
      <c r="C34" s="253">
        <f>SUM(C35:C38)</f>
        <v>330.78424425801217</v>
      </c>
      <c r="D34" s="261">
        <f t="shared" ref="D34:G34" si="10">SUM(D35:D38)</f>
        <v>435.92210828801217</v>
      </c>
      <c r="E34" s="262">
        <f t="shared" si="9"/>
        <v>196.65920048801212</v>
      </c>
      <c r="F34" s="262">
        <f t="shared" si="8"/>
        <v>148.35629963801216</v>
      </c>
      <c r="G34" s="253">
        <f t="shared" si="10"/>
        <v>105.13786402999999</v>
      </c>
      <c r="H34" s="253">
        <f>SUM(H35:H38)</f>
        <v>45.534226524873397</v>
      </c>
      <c r="I34" s="253" t="s">
        <v>424</v>
      </c>
      <c r="J34" s="261">
        <f>SUM(J35:J38)</f>
        <v>48.302900850000007</v>
      </c>
      <c r="K34" s="261" t="s">
        <v>424</v>
      </c>
      <c r="L34" s="253">
        <f>SUM(L35:L38)</f>
        <v>42.170267180643847</v>
      </c>
      <c r="M34" s="253" t="s">
        <v>424</v>
      </c>
      <c r="N34" s="261">
        <f>SUM(N35:N38)</f>
        <v>45.534226524873397</v>
      </c>
      <c r="O34" s="261" t="s">
        <v>424</v>
      </c>
      <c r="P34" s="253">
        <f>SUM(P35:P38)</f>
        <v>60.651805932494895</v>
      </c>
      <c r="Q34" s="253" t="s">
        <v>424</v>
      </c>
      <c r="R34" s="261">
        <f>SUM(R35:R38)</f>
        <v>42.170267180643847</v>
      </c>
      <c r="S34" s="261" t="s">
        <v>424</v>
      </c>
      <c r="T34" s="253">
        <f>SUM(T35:T38)</f>
        <v>0</v>
      </c>
      <c r="U34" s="253" t="s">
        <v>424</v>
      </c>
      <c r="V34" s="261">
        <f>SUM(V35:V38)</f>
        <v>60.651805932494895</v>
      </c>
      <c r="W34" s="261" t="s">
        <v>424</v>
      </c>
      <c r="X34" s="253">
        <f>SUM(X35:X38)</f>
        <v>0</v>
      </c>
      <c r="Y34" s="253" t="s">
        <v>424</v>
      </c>
      <c r="Z34" s="261">
        <f>SUM(Z35:Z38)</f>
        <v>0</v>
      </c>
      <c r="AA34" s="261" t="s">
        <v>424</v>
      </c>
      <c r="AB34" s="254">
        <f t="shared" si="6"/>
        <v>148.35629963801216</v>
      </c>
      <c r="AC34" s="264">
        <f t="shared" si="7"/>
        <v>196.65920048801212</v>
      </c>
      <c r="AD34" s="204"/>
      <c r="AE34" s="273">
        <f>SUM(AE35:AE38)</f>
        <v>0</v>
      </c>
      <c r="AF34" s="273" t="s">
        <v>424</v>
      </c>
      <c r="AG34" s="278">
        <v>0</v>
      </c>
      <c r="AH34" s="278">
        <v>0</v>
      </c>
    </row>
    <row r="35" spans="1:34" x14ac:dyDescent="0.25">
      <c r="A35" s="60" t="s">
        <v>169</v>
      </c>
      <c r="B35" s="42" t="s">
        <v>168</v>
      </c>
      <c r="C35" s="254">
        <v>12.15902901178476</v>
      </c>
      <c r="D35" s="263">
        <v>16.15960206178476</v>
      </c>
      <c r="E35" s="264">
        <f t="shared" si="9"/>
        <v>4.7790456817847611</v>
      </c>
      <c r="F35" s="264">
        <f t="shared" si="8"/>
        <v>4.7790456817847611</v>
      </c>
      <c r="G35" s="254">
        <v>4.0005730499999999</v>
      </c>
      <c r="H35" s="254">
        <v>4.7790456817847611</v>
      </c>
      <c r="I35" s="255" t="s">
        <v>59</v>
      </c>
      <c r="J35" s="263">
        <v>0</v>
      </c>
      <c r="K35" s="265">
        <v>0</v>
      </c>
      <c r="L35" s="254">
        <v>0</v>
      </c>
      <c r="M35" s="254">
        <v>0</v>
      </c>
      <c r="N35" s="263">
        <v>4.7790456817847611</v>
      </c>
      <c r="O35" s="265" t="s">
        <v>59</v>
      </c>
      <c r="P35" s="254">
        <v>0</v>
      </c>
      <c r="Q35" s="255">
        <v>0</v>
      </c>
      <c r="R35" s="263">
        <v>0</v>
      </c>
      <c r="S35" s="265">
        <v>0</v>
      </c>
      <c r="T35" s="254">
        <v>0</v>
      </c>
      <c r="U35" s="255">
        <v>0</v>
      </c>
      <c r="V35" s="263">
        <v>0</v>
      </c>
      <c r="W35" s="265">
        <v>0</v>
      </c>
      <c r="X35" s="254">
        <v>0</v>
      </c>
      <c r="Y35" s="255">
        <v>0</v>
      </c>
      <c r="Z35" s="263">
        <v>0</v>
      </c>
      <c r="AA35" s="265">
        <v>0</v>
      </c>
      <c r="AB35" s="254">
        <f t="shared" si="6"/>
        <v>4.7790456817847611</v>
      </c>
      <c r="AC35" s="264">
        <f t="shared" si="7"/>
        <v>4.7790456817847611</v>
      </c>
      <c r="AD35" s="203"/>
      <c r="AE35" s="274">
        <v>0</v>
      </c>
      <c r="AF35" s="275">
        <v>0</v>
      </c>
      <c r="AG35" s="278">
        <v>0</v>
      </c>
      <c r="AH35" s="278">
        <v>0</v>
      </c>
    </row>
    <row r="36" spans="1:34" ht="31.5" x14ac:dyDescent="0.25">
      <c r="A36" s="60" t="s">
        <v>167</v>
      </c>
      <c r="B36" s="42" t="s">
        <v>166</v>
      </c>
      <c r="C36" s="254">
        <v>80.148707478204429</v>
      </c>
      <c r="D36" s="263">
        <v>91.901110468204408</v>
      </c>
      <c r="E36" s="264">
        <f t="shared" si="9"/>
        <v>52.133150018204418</v>
      </c>
      <c r="F36" s="264">
        <f t="shared" si="8"/>
        <v>41.996083015485155</v>
      </c>
      <c r="G36" s="254">
        <v>11.75240299</v>
      </c>
      <c r="H36" s="254">
        <v>9.7191230432649469</v>
      </c>
      <c r="I36" s="254" t="s">
        <v>59</v>
      </c>
      <c r="J36" s="263">
        <v>10.137067002719258</v>
      </c>
      <c r="K36" s="265" t="s">
        <v>637</v>
      </c>
      <c r="L36" s="254">
        <v>10.506208206269081</v>
      </c>
      <c r="M36" s="254" t="s">
        <v>59</v>
      </c>
      <c r="N36" s="263">
        <v>9.7191230432649469</v>
      </c>
      <c r="O36" s="265" t="s">
        <v>59</v>
      </c>
      <c r="P36" s="254">
        <v>21.770751765951129</v>
      </c>
      <c r="Q36" s="255" t="s">
        <v>59</v>
      </c>
      <c r="R36" s="263">
        <v>10.506208206269081</v>
      </c>
      <c r="S36" s="265" t="s">
        <v>59</v>
      </c>
      <c r="T36" s="254">
        <v>0</v>
      </c>
      <c r="U36" s="255">
        <v>0</v>
      </c>
      <c r="V36" s="263">
        <v>21.770751765951129</v>
      </c>
      <c r="W36" s="265" t="s">
        <v>59</v>
      </c>
      <c r="X36" s="254">
        <v>0</v>
      </c>
      <c r="Y36" s="255">
        <v>0</v>
      </c>
      <c r="Z36" s="263">
        <v>0</v>
      </c>
      <c r="AA36" s="265">
        <v>0</v>
      </c>
      <c r="AB36" s="254">
        <f t="shared" si="6"/>
        <v>41.996083015485155</v>
      </c>
      <c r="AC36" s="264">
        <f t="shared" si="7"/>
        <v>52.133150018204418</v>
      </c>
      <c r="AE36" s="274">
        <v>0</v>
      </c>
      <c r="AF36" s="275">
        <v>0</v>
      </c>
      <c r="AG36" s="278">
        <v>0</v>
      </c>
      <c r="AH36" s="278">
        <v>0</v>
      </c>
    </row>
    <row r="37" spans="1:34" x14ac:dyDescent="0.25">
      <c r="A37" s="60" t="s">
        <v>165</v>
      </c>
      <c r="B37" s="42" t="s">
        <v>164</v>
      </c>
      <c r="C37" s="254">
        <v>194.8202741383395</v>
      </c>
      <c r="D37" s="263">
        <v>277.92573674833949</v>
      </c>
      <c r="E37" s="264">
        <f t="shared" si="9"/>
        <v>109.1369732983395</v>
      </c>
      <c r="F37" s="264">
        <f t="shared" si="8"/>
        <v>79.172386458339503</v>
      </c>
      <c r="G37" s="254">
        <v>83.105462609999989</v>
      </c>
      <c r="H37" s="254">
        <v>26.166647911602674</v>
      </c>
      <c r="I37" s="254" t="s">
        <v>59</v>
      </c>
      <c r="J37" s="263">
        <v>29.964586840000006</v>
      </c>
      <c r="K37" s="265" t="s">
        <v>637</v>
      </c>
      <c r="L37" s="254">
        <v>25.925878944026426</v>
      </c>
      <c r="M37" s="254" t="s">
        <v>59</v>
      </c>
      <c r="N37" s="263">
        <v>26.166647911602674</v>
      </c>
      <c r="O37" s="265" t="s">
        <v>59</v>
      </c>
      <c r="P37" s="254">
        <v>27.0798596027104</v>
      </c>
      <c r="Q37" s="255" t="s">
        <v>59</v>
      </c>
      <c r="R37" s="263">
        <v>25.925878944026426</v>
      </c>
      <c r="S37" s="265" t="s">
        <v>59</v>
      </c>
      <c r="T37" s="254">
        <v>0</v>
      </c>
      <c r="U37" s="255">
        <v>0</v>
      </c>
      <c r="V37" s="263">
        <v>27.0798596027104</v>
      </c>
      <c r="W37" s="265" t="s">
        <v>59</v>
      </c>
      <c r="X37" s="254">
        <v>0</v>
      </c>
      <c r="Y37" s="255">
        <v>0</v>
      </c>
      <c r="Z37" s="263">
        <v>0</v>
      </c>
      <c r="AA37" s="265">
        <v>0</v>
      </c>
      <c r="AB37" s="254">
        <f t="shared" si="6"/>
        <v>79.172386458339503</v>
      </c>
      <c r="AC37" s="264">
        <f t="shared" si="7"/>
        <v>109.1369732983395</v>
      </c>
      <c r="AE37" s="274">
        <v>0</v>
      </c>
      <c r="AF37" s="275">
        <v>0</v>
      </c>
      <c r="AG37" s="278">
        <v>0</v>
      </c>
      <c r="AH37" s="278">
        <v>0</v>
      </c>
    </row>
    <row r="38" spans="1:34" x14ac:dyDescent="0.25">
      <c r="A38" s="60" t="s">
        <v>163</v>
      </c>
      <c r="B38" s="42" t="s">
        <v>162</v>
      </c>
      <c r="C38" s="254">
        <v>43.656233629683456</v>
      </c>
      <c r="D38" s="263">
        <v>49.935659009683462</v>
      </c>
      <c r="E38" s="264">
        <f t="shared" si="9"/>
        <v>30.610031489683458</v>
      </c>
      <c r="F38" s="264">
        <f t="shared" si="8"/>
        <v>22.408784482402719</v>
      </c>
      <c r="G38" s="254">
        <v>6.2794253800000011</v>
      </c>
      <c r="H38" s="254">
        <v>4.8694098882210159</v>
      </c>
      <c r="I38" s="254" t="s">
        <v>635</v>
      </c>
      <c r="J38" s="263">
        <v>8.20124700728074</v>
      </c>
      <c r="K38" s="265" t="s">
        <v>636</v>
      </c>
      <c r="L38" s="254">
        <v>5.7381800303483361</v>
      </c>
      <c r="M38" s="254" t="s">
        <v>635</v>
      </c>
      <c r="N38" s="263">
        <v>4.8694098882210159</v>
      </c>
      <c r="O38" s="265" t="s">
        <v>635</v>
      </c>
      <c r="P38" s="254">
        <v>11.801194563833366</v>
      </c>
      <c r="Q38" s="255" t="s">
        <v>636</v>
      </c>
      <c r="R38" s="263">
        <v>5.7381800303483361</v>
      </c>
      <c r="S38" s="265" t="s">
        <v>635</v>
      </c>
      <c r="T38" s="254">
        <v>0</v>
      </c>
      <c r="U38" s="255">
        <v>0</v>
      </c>
      <c r="V38" s="263">
        <v>11.801194563833366</v>
      </c>
      <c r="W38" s="265" t="s">
        <v>636</v>
      </c>
      <c r="X38" s="254">
        <v>0</v>
      </c>
      <c r="Y38" s="255">
        <v>0</v>
      </c>
      <c r="Z38" s="263">
        <v>0</v>
      </c>
      <c r="AA38" s="265">
        <v>0</v>
      </c>
      <c r="AB38" s="254">
        <f t="shared" si="6"/>
        <v>22.408784482402719</v>
      </c>
      <c r="AC38" s="264">
        <f t="shared" si="7"/>
        <v>30.610031489683458</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53</v>
      </c>
      <c r="D46" s="263">
        <v>53</v>
      </c>
      <c r="E46" s="264">
        <f t="shared" si="9"/>
        <v>35</v>
      </c>
      <c r="F46" s="264">
        <f t="shared" si="8"/>
        <v>34</v>
      </c>
      <c r="G46" s="254">
        <v>4</v>
      </c>
      <c r="H46" s="254">
        <v>8</v>
      </c>
      <c r="I46" s="255" t="s">
        <v>59</v>
      </c>
      <c r="J46" s="263">
        <v>1</v>
      </c>
      <c r="K46" s="265" t="s">
        <v>60</v>
      </c>
      <c r="L46" s="254">
        <v>14</v>
      </c>
      <c r="M46" s="255" t="s">
        <v>59</v>
      </c>
      <c r="N46" s="263">
        <v>22</v>
      </c>
      <c r="O46" s="265" t="s">
        <v>59</v>
      </c>
      <c r="P46" s="254">
        <v>11</v>
      </c>
      <c r="Q46" s="255" t="s">
        <v>59</v>
      </c>
      <c r="R46" s="263">
        <v>5</v>
      </c>
      <c r="S46" s="265" t="s">
        <v>59</v>
      </c>
      <c r="T46" s="254">
        <v>0</v>
      </c>
      <c r="U46" s="255">
        <v>0</v>
      </c>
      <c r="V46" s="263">
        <v>7</v>
      </c>
      <c r="W46" s="265" t="s">
        <v>59</v>
      </c>
      <c r="X46" s="254">
        <v>0</v>
      </c>
      <c r="Y46" s="255">
        <v>0</v>
      </c>
      <c r="Z46" s="263">
        <v>0</v>
      </c>
      <c r="AA46" s="265">
        <v>0</v>
      </c>
      <c r="AB46" s="254">
        <f t="shared" si="6"/>
        <v>33</v>
      </c>
      <c r="AC46" s="264">
        <f t="shared" si="7"/>
        <v>35</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53</v>
      </c>
      <c r="D54" s="263">
        <v>53</v>
      </c>
      <c r="E54" s="264">
        <f t="shared" si="9"/>
        <v>35</v>
      </c>
      <c r="F54" s="264">
        <f t="shared" si="8"/>
        <v>34</v>
      </c>
      <c r="G54" s="254">
        <v>4</v>
      </c>
      <c r="H54" s="254">
        <v>8</v>
      </c>
      <c r="I54" s="255" t="s">
        <v>59</v>
      </c>
      <c r="J54" s="263">
        <v>1</v>
      </c>
      <c r="K54" s="265" t="s">
        <v>60</v>
      </c>
      <c r="L54" s="254">
        <v>14</v>
      </c>
      <c r="M54" s="255" t="s">
        <v>59</v>
      </c>
      <c r="N54" s="263">
        <v>22</v>
      </c>
      <c r="O54" s="265" t="s">
        <v>59</v>
      </c>
      <c r="P54" s="254">
        <v>11</v>
      </c>
      <c r="Q54" s="255" t="s">
        <v>59</v>
      </c>
      <c r="R54" s="263">
        <v>5</v>
      </c>
      <c r="S54" s="265" t="s">
        <v>59</v>
      </c>
      <c r="T54" s="254">
        <v>0</v>
      </c>
      <c r="U54" s="255">
        <v>0</v>
      </c>
      <c r="V54" s="263">
        <v>7</v>
      </c>
      <c r="W54" s="265" t="s">
        <v>59</v>
      </c>
      <c r="X54" s="254">
        <v>0</v>
      </c>
      <c r="Y54" s="255">
        <v>0</v>
      </c>
      <c r="Z54" s="263">
        <v>0</v>
      </c>
      <c r="AA54" s="265">
        <v>0</v>
      </c>
      <c r="AB54" s="254">
        <f t="shared" si="6"/>
        <v>33</v>
      </c>
      <c r="AC54" s="264">
        <f t="shared" si="7"/>
        <v>35</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403.33570216043177</v>
      </c>
      <c r="D56" s="263">
        <v>435.922108288012</v>
      </c>
      <c r="E56" s="264">
        <f t="shared" si="9"/>
        <v>246.41971798801202</v>
      </c>
      <c r="F56" s="264">
        <f t="shared" si="8"/>
        <v>219.82925445937869</v>
      </c>
      <c r="G56" s="254">
        <v>61.615679859999993</v>
      </c>
      <c r="H56" s="254">
        <v>69.122495814792373</v>
      </c>
      <c r="I56" s="255" t="s">
        <v>59</v>
      </c>
      <c r="J56" s="263">
        <v>26.590463528633347</v>
      </c>
      <c r="K56" s="265" t="s">
        <v>60</v>
      </c>
      <c r="L56" s="254">
        <v>69.32747189964617</v>
      </c>
      <c r="M56" s="255" t="s">
        <v>59</v>
      </c>
      <c r="N56" s="263">
        <v>93.068901937169954</v>
      </c>
      <c r="O56" s="265" t="s">
        <v>59</v>
      </c>
      <c r="P56" s="254">
        <v>81.386889565442672</v>
      </c>
      <c r="Q56" s="255" t="s">
        <v>59</v>
      </c>
      <c r="R56" s="263">
        <v>43.503791513977177</v>
      </c>
      <c r="S56" s="265" t="s">
        <v>59</v>
      </c>
      <c r="T56" s="254">
        <v>0</v>
      </c>
      <c r="U56" s="255">
        <v>0</v>
      </c>
      <c r="V56" s="263">
        <v>83.256561008231557</v>
      </c>
      <c r="W56" s="265" t="s">
        <v>59</v>
      </c>
      <c r="X56" s="254">
        <v>0</v>
      </c>
      <c r="Y56" s="255">
        <v>0</v>
      </c>
      <c r="Z56" s="263">
        <v>0</v>
      </c>
      <c r="AA56" s="265">
        <v>0</v>
      </c>
      <c r="AB56" s="254">
        <f t="shared" si="6"/>
        <v>219.8368572798812</v>
      </c>
      <c r="AC56" s="264">
        <f t="shared" si="7"/>
        <v>246.41971798801202</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53</v>
      </c>
      <c r="D61" s="263">
        <v>53</v>
      </c>
      <c r="E61" s="264">
        <f t="shared" si="9"/>
        <v>35</v>
      </c>
      <c r="F61" s="264">
        <f t="shared" si="8"/>
        <v>34</v>
      </c>
      <c r="G61" s="254">
        <v>4</v>
      </c>
      <c r="H61" s="254">
        <v>8</v>
      </c>
      <c r="I61" s="255" t="s">
        <v>59</v>
      </c>
      <c r="J61" s="263">
        <v>1</v>
      </c>
      <c r="K61" s="265" t="s">
        <v>60</v>
      </c>
      <c r="L61" s="254">
        <v>14</v>
      </c>
      <c r="M61" s="255" t="s">
        <v>59</v>
      </c>
      <c r="N61" s="263">
        <v>22</v>
      </c>
      <c r="O61" s="265" t="s">
        <v>59</v>
      </c>
      <c r="P61" s="254">
        <v>11</v>
      </c>
      <c r="Q61" s="255" t="s">
        <v>59</v>
      </c>
      <c r="R61" s="263">
        <v>5</v>
      </c>
      <c r="S61" s="265" t="s">
        <v>59</v>
      </c>
      <c r="T61" s="254">
        <v>0</v>
      </c>
      <c r="U61" s="255">
        <v>0</v>
      </c>
      <c r="V61" s="263">
        <v>7</v>
      </c>
      <c r="W61" s="265" t="s">
        <v>59</v>
      </c>
      <c r="X61" s="254">
        <v>0</v>
      </c>
      <c r="Y61" s="255">
        <v>0</v>
      </c>
      <c r="Z61" s="263">
        <v>0</v>
      </c>
      <c r="AA61" s="265">
        <v>0</v>
      </c>
      <c r="AB61" s="254">
        <f t="shared" si="6"/>
        <v>33</v>
      </c>
      <c r="AC61" s="264">
        <f t="shared" si="7"/>
        <v>35</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M_00.0007.000007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47097</v>
      </c>
      <c r="E26" s="173">
        <v>53</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382263.37215969176</v>
      </c>
      <c r="Q26" s="173" t="s">
        <v>424</v>
      </c>
      <c r="R26" s="175">
        <f>SUM(R27:R86)</f>
        <v>381954.59561969171</v>
      </c>
      <c r="S26" s="173" t="s">
        <v>424</v>
      </c>
      <c r="T26" s="173" t="s">
        <v>424</v>
      </c>
      <c r="U26" s="173" t="s">
        <v>424</v>
      </c>
      <c r="V26" s="173" t="s">
        <v>424</v>
      </c>
      <c r="W26" s="173" t="s">
        <v>424</v>
      </c>
      <c r="X26" s="173" t="s">
        <v>424</v>
      </c>
      <c r="Y26" s="173" t="s">
        <v>424</v>
      </c>
      <c r="Z26" s="173" t="s">
        <v>424</v>
      </c>
      <c r="AA26" s="173" t="s">
        <v>424</v>
      </c>
      <c r="AB26" s="175">
        <f>SUM(AB27:AB86)</f>
        <v>337940.61355950031</v>
      </c>
      <c r="AC26" s="173" t="s">
        <v>424</v>
      </c>
      <c r="AD26" s="175">
        <f>SUM(AD27:AD86)</f>
        <v>326706.29763653595</v>
      </c>
      <c r="AE26" s="175">
        <f>SUM(AE27:AE86)</f>
        <v>85256.134451429767</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217772.54445000004</v>
      </c>
      <c r="AY26" s="175">
        <f t="shared" si="46"/>
        <v>243165.42781999998</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36478</v>
      </c>
      <c r="Q27" s="205" t="s">
        <v>514</v>
      </c>
      <c r="R27" s="206">
        <v>36478.230000000003</v>
      </c>
      <c r="S27" s="205" t="s">
        <v>515</v>
      </c>
      <c r="T27" s="205" t="s">
        <v>515</v>
      </c>
      <c r="U27" s="205">
        <v>4</v>
      </c>
      <c r="V27" s="205">
        <v>2</v>
      </c>
      <c r="W27" s="205" t="s">
        <v>516</v>
      </c>
      <c r="X27" s="205" t="s">
        <v>517</v>
      </c>
      <c r="Y27" s="205" t="s">
        <v>518</v>
      </c>
      <c r="Z27" s="205">
        <v>1</v>
      </c>
      <c r="AA27" s="205" t="s">
        <v>519</v>
      </c>
      <c r="AB27" s="206">
        <v>36078</v>
      </c>
      <c r="AC27" s="205" t="s">
        <v>520</v>
      </c>
      <c r="AD27" s="206">
        <v>43293.599999999999</v>
      </c>
      <c r="AE27" s="247">
        <f>IF(IFERROR(AD27-AY27,"нд")&lt;0,0,IFERROR(AD27-AY27,"нд"))</f>
        <v>6705.8299600000028</v>
      </c>
      <c r="AF27" s="205">
        <v>32312042804</v>
      </c>
      <c r="AG27" s="205" t="s">
        <v>521</v>
      </c>
      <c r="AH27" s="205" t="s">
        <v>522</v>
      </c>
      <c r="AI27" s="207">
        <v>44956</v>
      </c>
      <c r="AJ27" s="207">
        <v>44945</v>
      </c>
      <c r="AK27" s="207">
        <v>44963</v>
      </c>
      <c r="AL27" s="207">
        <v>44988</v>
      </c>
      <c r="AM27" s="205" t="s">
        <v>424</v>
      </c>
      <c r="AN27" s="205" t="s">
        <v>424</v>
      </c>
      <c r="AO27" s="205" t="s">
        <v>424</v>
      </c>
      <c r="AP27" s="205" t="s">
        <v>424</v>
      </c>
      <c r="AQ27" s="207">
        <v>45008</v>
      </c>
      <c r="AR27" s="207">
        <v>45008</v>
      </c>
      <c r="AS27" s="207">
        <v>45008</v>
      </c>
      <c r="AT27" s="207">
        <v>45008</v>
      </c>
      <c r="AU27" s="207">
        <v>45181</v>
      </c>
      <c r="AV27" s="205" t="s">
        <v>424</v>
      </c>
      <c r="AW27" s="205" t="s">
        <v>424</v>
      </c>
      <c r="AX27" s="208">
        <v>30489.808370000002</v>
      </c>
      <c r="AY27" s="208">
        <v>36587.770039999996</v>
      </c>
      <c r="AZ27" s="206" t="s">
        <v>523</v>
      </c>
      <c r="BA27" s="206" t="s">
        <v>524</v>
      </c>
      <c r="BB27" s="206" t="s">
        <v>520</v>
      </c>
      <c r="BC27" s="206" t="s">
        <v>525</v>
      </c>
      <c r="BD27" s="206" t="str">
        <f>CONCATENATE(BB27,", ",BA27,", ",N27,", ","договор № ",BC27)</f>
        <v>АКЦИОНЕРНОЕ ОБЩЕСТВО "РЕМОНТЭНЕРГОМОНТАЖ И СЕРВИС", СМР, 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договор № ИП-23-00070 от 23.03.2023</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526</v>
      </c>
      <c r="N28" s="205" t="s">
        <v>527</v>
      </c>
      <c r="O28" s="205" t="s">
        <v>513</v>
      </c>
      <c r="P28" s="206">
        <v>44059</v>
      </c>
      <c r="Q28" s="205" t="s">
        <v>514</v>
      </c>
      <c r="R28" s="206">
        <v>44059</v>
      </c>
      <c r="S28" s="205" t="s">
        <v>528</v>
      </c>
      <c r="T28" s="205" t="s">
        <v>528</v>
      </c>
      <c r="U28" s="205">
        <v>7</v>
      </c>
      <c r="V28" s="205">
        <v>4</v>
      </c>
      <c r="W28" s="205" t="s">
        <v>529</v>
      </c>
      <c r="X28" s="205" t="s">
        <v>530</v>
      </c>
      <c r="Y28" s="205" t="s">
        <v>529</v>
      </c>
      <c r="Z28" s="205">
        <v>1</v>
      </c>
      <c r="AA28" s="205">
        <v>56800</v>
      </c>
      <c r="AB28" s="206">
        <v>26975.18955497551</v>
      </c>
      <c r="AC28" s="205" t="s">
        <v>531</v>
      </c>
      <c r="AD28" s="206">
        <v>32370.227465970609</v>
      </c>
      <c r="AE28" s="247">
        <f t="shared" ref="AE28:AE86" si="49">IF(IFERROR(AD28-AY28,"нд")&lt;0,0,IFERROR(AD28-AY28,"нд"))</f>
        <v>0</v>
      </c>
      <c r="AF28" s="205">
        <v>31907809377</v>
      </c>
      <c r="AG28" s="205" t="s">
        <v>521</v>
      </c>
      <c r="AH28" s="205" t="s">
        <v>532</v>
      </c>
      <c r="AI28" s="207">
        <v>43579</v>
      </c>
      <c r="AJ28" s="207">
        <v>43585</v>
      </c>
      <c r="AK28" s="207">
        <v>43592</v>
      </c>
      <c r="AL28" s="207">
        <v>43613</v>
      </c>
      <c r="AM28" s="205" t="s">
        <v>424</v>
      </c>
      <c r="AN28" s="205" t="s">
        <v>424</v>
      </c>
      <c r="AO28" s="205" t="s">
        <v>424</v>
      </c>
      <c r="AP28" s="205" t="s">
        <v>424</v>
      </c>
      <c r="AQ28" s="207">
        <v>43633</v>
      </c>
      <c r="AR28" s="207">
        <v>43644</v>
      </c>
      <c r="AS28" s="207">
        <v>43633</v>
      </c>
      <c r="AT28" s="207">
        <v>43921</v>
      </c>
      <c r="AU28" s="207">
        <v>43913</v>
      </c>
      <c r="AV28" s="205" t="s">
        <v>424</v>
      </c>
      <c r="AW28" s="205" t="s">
        <v>424</v>
      </c>
      <c r="AX28" s="206">
        <v>28398.714</v>
      </c>
      <c r="AY28" s="206">
        <v>34078.4568</v>
      </c>
      <c r="AZ28" s="206" t="s">
        <v>533</v>
      </c>
      <c r="BA28" s="206" t="s">
        <v>526</v>
      </c>
      <c r="BB28" s="206" t="s">
        <v>531</v>
      </c>
      <c r="BC28" s="206" t="s">
        <v>534</v>
      </c>
      <c r="BD28" s="206" t="str">
        <f t="shared" ref="BD28:BD86" si="50">CONCATENATE(BB28,", ",BA28,", ",N28,", ","договор № ",BC28)</f>
        <v>Индивидуальный предприниматель Григорьянц Артем Александрович, ТМЦ, Выключатель баковый элегазовый 110кВ и 220 кВ, договор № ПД-19-00155 от 28.06.2019</v>
      </c>
    </row>
    <row r="29" spans="1:56" s="209" customFormat="1" ht="13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535</v>
      </c>
      <c r="N29" s="205" t="s">
        <v>536</v>
      </c>
      <c r="O29" s="205" t="s">
        <v>513</v>
      </c>
      <c r="P29" s="206">
        <v>20821</v>
      </c>
      <c r="Q29" s="205" t="s">
        <v>514</v>
      </c>
      <c r="R29" s="206">
        <v>20821</v>
      </c>
      <c r="S29" s="205" t="s">
        <v>537</v>
      </c>
      <c r="T29" s="205" t="s">
        <v>537</v>
      </c>
      <c r="U29" s="205">
        <v>3</v>
      </c>
      <c r="V29" s="205">
        <v>2</v>
      </c>
      <c r="W29" s="205" t="s">
        <v>538</v>
      </c>
      <c r="X29" s="205" t="s">
        <v>539</v>
      </c>
      <c r="Y29" s="205" t="s">
        <v>540</v>
      </c>
      <c r="Z29" s="205" t="s">
        <v>424</v>
      </c>
      <c r="AA29" s="205">
        <v>20821</v>
      </c>
      <c r="AB29" s="206">
        <v>20821</v>
      </c>
      <c r="AC29" s="205" t="s">
        <v>541</v>
      </c>
      <c r="AD29" s="206">
        <v>24985.200000000001</v>
      </c>
      <c r="AE29" s="247">
        <f t="shared" si="49"/>
        <v>11933.477080000001</v>
      </c>
      <c r="AF29" s="205">
        <v>31907796060</v>
      </c>
      <c r="AG29" s="205" t="s">
        <v>521</v>
      </c>
      <c r="AH29" s="205" t="s">
        <v>532</v>
      </c>
      <c r="AI29" s="207">
        <v>43585</v>
      </c>
      <c r="AJ29" s="207">
        <v>43580</v>
      </c>
      <c r="AK29" s="207">
        <v>43585</v>
      </c>
      <c r="AL29" s="207">
        <v>43605</v>
      </c>
      <c r="AM29" s="205" t="s">
        <v>424</v>
      </c>
      <c r="AN29" s="205" t="s">
        <v>424</v>
      </c>
      <c r="AO29" s="205" t="s">
        <v>424</v>
      </c>
      <c r="AP29" s="205" t="s">
        <v>424</v>
      </c>
      <c r="AQ29" s="207">
        <v>43625</v>
      </c>
      <c r="AR29" s="207">
        <v>43654</v>
      </c>
      <c r="AS29" s="207">
        <v>43625</v>
      </c>
      <c r="AT29" s="207">
        <v>43654</v>
      </c>
      <c r="AU29" s="207">
        <v>44190</v>
      </c>
      <c r="AV29" s="205" t="s">
        <v>424</v>
      </c>
      <c r="AW29" s="205" t="s">
        <v>424</v>
      </c>
      <c r="AX29" s="206">
        <v>12598.08577</v>
      </c>
      <c r="AY29" s="206">
        <v>13051.72292</v>
      </c>
      <c r="AZ29" s="206" t="s">
        <v>523</v>
      </c>
      <c r="BA29" s="206" t="s">
        <v>524</v>
      </c>
      <c r="BB29" s="206" t="s">
        <v>541</v>
      </c>
      <c r="BC29" s="206" t="s">
        <v>542</v>
      </c>
      <c r="BD29" s="206" t="str">
        <f t="shared" si="50"/>
        <v>АО "РЭМиС", СМР, Проектно-изыскательские, строительно-монтажные и пусконаладочные работы по реконструкции ПС 220 кВ Восточная в части замены ячеек выключателей 110-220 кВ (7 шт.) с выполнением сопутствующего объема работ и реконструкции ПС 220 кВ Правобережная в части замены ячеек выключателей 220 кВ (3 шт.) с выполнением сопутствующего объема работ, договор № ИП-19-00124 от 08.07.2019</v>
      </c>
    </row>
    <row r="30" spans="1:56" s="209" customFormat="1" ht="409.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543</v>
      </c>
      <c r="N30" s="205" t="s">
        <v>544</v>
      </c>
      <c r="O30" s="205" t="s">
        <v>513</v>
      </c>
      <c r="P30" s="206">
        <v>2717.7</v>
      </c>
      <c r="Q30" s="205" t="s">
        <v>514</v>
      </c>
      <c r="R30" s="206">
        <v>2717.7</v>
      </c>
      <c r="S30" s="205" t="s">
        <v>545</v>
      </c>
      <c r="T30" s="205" t="s">
        <v>545</v>
      </c>
      <c r="U30" s="205">
        <v>4</v>
      </c>
      <c r="V30" s="205">
        <v>11</v>
      </c>
      <c r="W30" s="205" t="s">
        <v>546</v>
      </c>
      <c r="X30" s="205" t="s">
        <v>547</v>
      </c>
      <c r="Y30" s="205" t="s">
        <v>548</v>
      </c>
      <c r="Z30" s="205">
        <v>1</v>
      </c>
      <c r="AA30" s="205" t="s">
        <v>549</v>
      </c>
      <c r="AB30" s="206">
        <v>2450</v>
      </c>
      <c r="AC30" s="205" t="s">
        <v>550</v>
      </c>
      <c r="AD30" s="206">
        <v>2940</v>
      </c>
      <c r="AE30" s="247">
        <f t="shared" si="49"/>
        <v>0</v>
      </c>
      <c r="AF30" s="205">
        <v>32008825448</v>
      </c>
      <c r="AG30" s="205" t="s">
        <v>521</v>
      </c>
      <c r="AH30" s="205" t="s">
        <v>532</v>
      </c>
      <c r="AI30" s="207">
        <v>43861</v>
      </c>
      <c r="AJ30" s="207">
        <v>43861</v>
      </c>
      <c r="AK30" s="207">
        <v>43873</v>
      </c>
      <c r="AL30" s="207">
        <v>43889</v>
      </c>
      <c r="AM30" s="205" t="s">
        <v>424</v>
      </c>
      <c r="AN30" s="205" t="s">
        <v>424</v>
      </c>
      <c r="AO30" s="205" t="s">
        <v>424</v>
      </c>
      <c r="AP30" s="205" t="s">
        <v>424</v>
      </c>
      <c r="AQ30" s="207">
        <v>43909</v>
      </c>
      <c r="AR30" s="207">
        <v>43910</v>
      </c>
      <c r="AS30" s="207">
        <v>43909</v>
      </c>
      <c r="AT30" s="207">
        <v>43910</v>
      </c>
      <c r="AU30" s="207">
        <v>44190</v>
      </c>
      <c r="AV30" s="205" t="s">
        <v>424</v>
      </c>
      <c r="AW30" s="205" t="s">
        <v>424</v>
      </c>
      <c r="AX30" s="206">
        <v>2450</v>
      </c>
      <c r="AY30" s="206">
        <v>2940</v>
      </c>
      <c r="AZ30" s="206" t="s">
        <v>523</v>
      </c>
      <c r="BA30" s="206" t="s">
        <v>543</v>
      </c>
      <c r="BB30" s="206" t="s">
        <v>551</v>
      </c>
      <c r="BC30" s="206" t="s">
        <v>552</v>
      </c>
      <c r="BD30" s="206" t="str">
        <f t="shared" si="50"/>
        <v>ООО  "ИНСТИТУТ ПРОЕКТИРОВАНИЯ ЭНЕРГЕТИЧЕСКИХ СИСТЕМ", ПИР, Выполнение проектно-изыскательских работ по реконструкции ПС 220 кВ Восточная в части замены ячеек выключателей 110-220 кВ (7 шт.) с выполнением сопутствующего объема работ, договор № ИП-20-00066 от 20.03.2020</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526</v>
      </c>
      <c r="N31" s="205" t="s">
        <v>553</v>
      </c>
      <c r="O31" s="205" t="s">
        <v>513</v>
      </c>
      <c r="P31" s="206">
        <v>80304.5</v>
      </c>
      <c r="Q31" s="205" t="s">
        <v>514</v>
      </c>
      <c r="R31" s="206">
        <v>80304.5</v>
      </c>
      <c r="S31" s="205" t="s">
        <v>528</v>
      </c>
      <c r="T31" s="205" t="s">
        <v>528</v>
      </c>
      <c r="U31" s="205">
        <v>3</v>
      </c>
      <c r="V31" s="205">
        <v>1</v>
      </c>
      <c r="W31" s="205" t="s">
        <v>554</v>
      </c>
      <c r="X31" s="205">
        <v>79497.5</v>
      </c>
      <c r="Y31" s="205" t="s">
        <v>554</v>
      </c>
      <c r="Z31" s="205" t="s">
        <v>424</v>
      </c>
      <c r="AA31" s="205">
        <v>79497.5</v>
      </c>
      <c r="AB31" s="206">
        <v>79497.5</v>
      </c>
      <c r="AC31" s="205" t="s">
        <v>554</v>
      </c>
      <c r="AD31" s="206">
        <v>16828.964759135531</v>
      </c>
      <c r="AE31" s="247">
        <f t="shared" si="49"/>
        <v>0</v>
      </c>
      <c r="AF31" s="205">
        <v>32312047397</v>
      </c>
      <c r="AG31" s="205" t="s">
        <v>521</v>
      </c>
      <c r="AH31" s="205" t="s">
        <v>522</v>
      </c>
      <c r="AI31" s="207">
        <v>44957</v>
      </c>
      <c r="AJ31" s="207">
        <v>44946</v>
      </c>
      <c r="AK31" s="207">
        <v>44963</v>
      </c>
      <c r="AL31" s="207">
        <v>44979</v>
      </c>
      <c r="AM31" s="205" t="s">
        <v>424</v>
      </c>
      <c r="AN31" s="205" t="s">
        <v>424</v>
      </c>
      <c r="AO31" s="205" t="s">
        <v>424</v>
      </c>
      <c r="AP31" s="205" t="s">
        <v>424</v>
      </c>
      <c r="AQ31" s="207">
        <v>44999</v>
      </c>
      <c r="AR31" s="207">
        <v>44982</v>
      </c>
      <c r="AS31" s="207">
        <v>44999</v>
      </c>
      <c r="AT31" s="207">
        <v>44982</v>
      </c>
      <c r="AU31" s="207">
        <v>45061</v>
      </c>
      <c r="AV31" s="205" t="s">
        <v>424</v>
      </c>
      <c r="AW31" s="205" t="s">
        <v>424</v>
      </c>
      <c r="AX31" s="206">
        <v>14030</v>
      </c>
      <c r="AY31" s="206">
        <v>16836</v>
      </c>
      <c r="AZ31" s="206" t="s">
        <v>533</v>
      </c>
      <c r="BA31" s="206" t="s">
        <v>526</v>
      </c>
      <c r="BB31" s="206" t="s">
        <v>555</v>
      </c>
      <c r="BC31" s="206" t="s">
        <v>556</v>
      </c>
      <c r="BD31" s="206" t="str">
        <f t="shared" si="50"/>
        <v>Общество с ограниченной ответственностью "Инженерный центр Сибири", ТМЦ, Поставка разъединителей 110-220 кВ, договор № ПД-23-00052 от 14.03.2023</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511</v>
      </c>
      <c r="N32" s="205" t="s">
        <v>557</v>
      </c>
      <c r="O32" s="205" t="s">
        <v>513</v>
      </c>
      <c r="P32" s="206">
        <v>2908.54</v>
      </c>
      <c r="Q32" s="205" t="s">
        <v>514</v>
      </c>
      <c r="R32" s="206">
        <v>2908.5354200000002</v>
      </c>
      <c r="S32" s="205" t="s">
        <v>515</v>
      </c>
      <c r="T32" s="205" t="s">
        <v>515</v>
      </c>
      <c r="U32" s="205">
        <v>3</v>
      </c>
      <c r="V32" s="205">
        <v>1</v>
      </c>
      <c r="W32" s="205" t="s">
        <v>520</v>
      </c>
      <c r="X32" s="205">
        <v>2908.5354200000002</v>
      </c>
      <c r="Y32" s="205" t="s">
        <v>518</v>
      </c>
      <c r="Z32" s="205" t="s">
        <v>518</v>
      </c>
      <c r="AA32" s="205">
        <v>2908.5354200000002</v>
      </c>
      <c r="AB32" s="206">
        <v>2908.5354200000002</v>
      </c>
      <c r="AC32" s="205" t="s">
        <v>520</v>
      </c>
      <c r="AD32" s="206">
        <v>3235.83511</v>
      </c>
      <c r="AE32" s="247">
        <f t="shared" si="49"/>
        <v>0</v>
      </c>
      <c r="AF32" s="205">
        <v>32211177760</v>
      </c>
      <c r="AG32" s="205" t="s">
        <v>521</v>
      </c>
      <c r="AH32" s="205" t="s">
        <v>522</v>
      </c>
      <c r="AI32" s="207">
        <v>44620</v>
      </c>
      <c r="AJ32" s="207">
        <v>44620</v>
      </c>
      <c r="AK32" s="207">
        <v>44636</v>
      </c>
      <c r="AL32" s="207">
        <v>44643</v>
      </c>
      <c r="AM32" s="205" t="s">
        <v>424</v>
      </c>
      <c r="AN32" s="205" t="s">
        <v>424</v>
      </c>
      <c r="AO32" s="205" t="s">
        <v>424</v>
      </c>
      <c r="AP32" s="205" t="s">
        <v>424</v>
      </c>
      <c r="AQ32" s="207">
        <v>44663</v>
      </c>
      <c r="AR32" s="207">
        <v>44657</v>
      </c>
      <c r="AS32" s="207">
        <v>44663</v>
      </c>
      <c r="AT32" s="207">
        <v>44657</v>
      </c>
      <c r="AU32" s="207">
        <v>45290</v>
      </c>
      <c r="AV32" s="205" t="s">
        <v>424</v>
      </c>
      <c r="AW32" s="205" t="s">
        <v>424</v>
      </c>
      <c r="AX32" s="206">
        <v>2696.5292599999998</v>
      </c>
      <c r="AY32" s="206">
        <v>3235.83511</v>
      </c>
      <c r="AZ32" s="206" t="s">
        <v>523</v>
      </c>
      <c r="BA32" s="206" t="s">
        <v>524</v>
      </c>
      <c r="BB32" s="206" t="s">
        <v>520</v>
      </c>
      <c r="BC32" s="206" t="s">
        <v>558</v>
      </c>
      <c r="BD32" s="206" t="str">
        <f t="shared" si="50"/>
        <v>АКЦИОНЕРНОЕ ОБЩЕСТВО "РЕМОНТЭНЕРГОМОНТАЖ И СЕРВИС", СМР, 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в объеме выполнения работ по 1 ПК 2 этап (яч.ШСВ-220) , договор № ИП-22-00075 от 06.04.2022</v>
      </c>
    </row>
    <row r="33" spans="1:56" s="209" customFormat="1" ht="157.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543</v>
      </c>
      <c r="N33" s="205" t="s">
        <v>559</v>
      </c>
      <c r="O33" s="205" t="s">
        <v>513</v>
      </c>
      <c r="P33" s="206">
        <v>4497.1119600000002</v>
      </c>
      <c r="Q33" s="205" t="s">
        <v>514</v>
      </c>
      <c r="R33" s="206">
        <v>4497.1099999999997</v>
      </c>
      <c r="S33" s="205" t="s">
        <v>545</v>
      </c>
      <c r="T33" s="205" t="s">
        <v>545</v>
      </c>
      <c r="U33" s="205">
        <v>3</v>
      </c>
      <c r="V33" s="205">
        <v>5</v>
      </c>
      <c r="W33" s="205" t="s">
        <v>560</v>
      </c>
      <c r="X33" s="205" t="s">
        <v>561</v>
      </c>
      <c r="Y33" s="205" t="s">
        <v>518</v>
      </c>
      <c r="Z33" s="205">
        <v>1</v>
      </c>
      <c r="AA33" s="205" t="s">
        <v>562</v>
      </c>
      <c r="AB33" s="206">
        <v>3208.33</v>
      </c>
      <c r="AC33" s="205" t="s">
        <v>563</v>
      </c>
      <c r="AD33" s="206">
        <v>3850</v>
      </c>
      <c r="AE33" s="247">
        <f t="shared" si="49"/>
        <v>0</v>
      </c>
      <c r="AF33" s="205">
        <v>32211412474</v>
      </c>
      <c r="AG33" s="205" t="s">
        <v>521</v>
      </c>
      <c r="AH33" s="205" t="s">
        <v>522</v>
      </c>
      <c r="AI33" s="207">
        <v>44712</v>
      </c>
      <c r="AJ33" s="207">
        <v>44706</v>
      </c>
      <c r="AK33" s="207">
        <v>44735</v>
      </c>
      <c r="AL33" s="207">
        <v>44757</v>
      </c>
      <c r="AM33" s="205" t="s">
        <v>424</v>
      </c>
      <c r="AN33" s="205" t="s">
        <v>424</v>
      </c>
      <c r="AO33" s="205" t="s">
        <v>424</v>
      </c>
      <c r="AP33" s="205" t="s">
        <v>424</v>
      </c>
      <c r="AQ33" s="207">
        <v>44777</v>
      </c>
      <c r="AR33" s="207">
        <v>44775</v>
      </c>
      <c r="AS33" s="207">
        <v>44777</v>
      </c>
      <c r="AT33" s="207">
        <v>44775</v>
      </c>
      <c r="AU33" s="207">
        <v>45290</v>
      </c>
      <c r="AV33" s="205" t="s">
        <v>424</v>
      </c>
      <c r="AW33" s="205" t="s">
        <v>424</v>
      </c>
      <c r="AX33" s="206">
        <v>3208.3333299999999</v>
      </c>
      <c r="AY33" s="206">
        <v>3850</v>
      </c>
      <c r="AZ33" s="206" t="s">
        <v>523</v>
      </c>
      <c r="BA33" s="206" t="s">
        <v>543</v>
      </c>
      <c r="BB33" s="206" t="s">
        <v>564</v>
      </c>
      <c r="BC33" s="206" t="s">
        <v>565</v>
      </c>
      <c r="BD33" s="206" t="str">
        <f t="shared" si="50"/>
        <v>ООО "ПЦ ЭКРА", ПИР, Выполнение проектно-изыскательских работ по проекту "Реконструкция ПС 220 кВ Восточная в части замены ячеек выключателей 110-220 кВ (7 шт.) с выполнением сопутствующего объема работ ", договор № ИП-22-00216 от 02.08.2022</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566</v>
      </c>
      <c r="N34" s="205" t="s">
        <v>567</v>
      </c>
      <c r="O34" s="205" t="s">
        <v>513</v>
      </c>
      <c r="P34" s="206">
        <v>46501.38</v>
      </c>
      <c r="Q34" s="205" t="s">
        <v>514</v>
      </c>
      <c r="R34" s="206">
        <v>46501.38</v>
      </c>
      <c r="S34" s="205" t="s">
        <v>568</v>
      </c>
      <c r="T34" s="205" t="s">
        <v>568</v>
      </c>
      <c r="U34" s="205" t="s">
        <v>424</v>
      </c>
      <c r="V34" s="205" t="s">
        <v>424</v>
      </c>
      <c r="W34" s="205" t="s">
        <v>424</v>
      </c>
      <c r="X34" s="205" t="s">
        <v>424</v>
      </c>
      <c r="Y34" s="205" t="s">
        <v>424</v>
      </c>
      <c r="Z34" s="205" t="s">
        <v>424</v>
      </c>
      <c r="AA34" s="205" t="s">
        <v>424</v>
      </c>
      <c r="AB34" s="206">
        <v>46501.38</v>
      </c>
      <c r="AC34" s="205" t="s">
        <v>569</v>
      </c>
      <c r="AD34" s="206">
        <v>55801.655999999995</v>
      </c>
      <c r="AE34" s="247">
        <f t="shared" si="49"/>
        <v>10007.900709999994</v>
      </c>
      <c r="AF34" s="205" t="s">
        <v>518</v>
      </c>
      <c r="AG34" s="205" t="s">
        <v>570</v>
      </c>
      <c r="AH34" s="205" t="s">
        <v>424</v>
      </c>
      <c r="AI34" s="207" t="s">
        <v>424</v>
      </c>
      <c r="AJ34" s="207" t="s">
        <v>424</v>
      </c>
      <c r="AK34" s="207" t="s">
        <v>424</v>
      </c>
      <c r="AL34" s="207" t="s">
        <v>424</v>
      </c>
      <c r="AM34" s="205" t="s">
        <v>571</v>
      </c>
      <c r="AN34" s="205" t="s">
        <v>572</v>
      </c>
      <c r="AO34" s="205">
        <v>43997</v>
      </c>
      <c r="AP34" s="205" t="s">
        <v>573</v>
      </c>
      <c r="AQ34" s="207">
        <v>44039</v>
      </c>
      <c r="AR34" s="207">
        <v>43998</v>
      </c>
      <c r="AS34" s="207">
        <v>44039</v>
      </c>
      <c r="AT34" s="207">
        <v>44039</v>
      </c>
      <c r="AU34" s="207">
        <v>44555</v>
      </c>
      <c r="AV34" s="205" t="s">
        <v>574</v>
      </c>
      <c r="AW34" s="205" t="s">
        <v>424</v>
      </c>
      <c r="AX34" s="206">
        <v>45062.758720000005</v>
      </c>
      <c r="AY34" s="206">
        <v>45793.755290000001</v>
      </c>
      <c r="AZ34" s="206" t="s">
        <v>523</v>
      </c>
      <c r="BA34" s="206" t="s">
        <v>524</v>
      </c>
      <c r="BB34" s="206" t="s">
        <v>520</v>
      </c>
      <c r="BC34" s="206" t="s">
        <v>575</v>
      </c>
      <c r="BD34" s="206" t="str">
        <f t="shared" si="50"/>
        <v>АКЦИОНЕРНОЕ ОБЩЕСТВО "РЕМОНТЭНЕРГОМОНТАЖ И СЕРВИС",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v>
      </c>
    </row>
    <row r="35" spans="1:56" s="209" customFormat="1" ht="19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543</v>
      </c>
      <c r="N35" s="205" t="s">
        <v>576</v>
      </c>
      <c r="O35" s="205" t="s">
        <v>513</v>
      </c>
      <c r="P35" s="206">
        <v>6016</v>
      </c>
      <c r="Q35" s="205" t="s">
        <v>514</v>
      </c>
      <c r="R35" s="206">
        <v>6016</v>
      </c>
      <c r="S35" s="205" t="s">
        <v>545</v>
      </c>
      <c r="T35" s="205" t="s">
        <v>545</v>
      </c>
      <c r="U35" s="205">
        <v>3</v>
      </c>
      <c r="V35" s="205">
        <v>6</v>
      </c>
      <c r="W35" s="205" t="s">
        <v>577</v>
      </c>
      <c r="X35" s="205" t="s">
        <v>578</v>
      </c>
      <c r="Y35" s="205" t="s">
        <v>518</v>
      </c>
      <c r="Z35" s="205">
        <v>1</v>
      </c>
      <c r="AA35" s="205" t="s">
        <v>579</v>
      </c>
      <c r="AB35" s="206">
        <v>4000.5729999999999</v>
      </c>
      <c r="AC35" s="205" t="s">
        <v>580</v>
      </c>
      <c r="AD35" s="206">
        <v>4800.6875999999993</v>
      </c>
      <c r="AE35" s="247">
        <f t="shared" si="49"/>
        <v>0</v>
      </c>
      <c r="AF35" s="205">
        <v>32413222563</v>
      </c>
      <c r="AG35" s="205" t="s">
        <v>521</v>
      </c>
      <c r="AH35" s="205" t="s">
        <v>522</v>
      </c>
      <c r="AI35" s="207">
        <v>45322</v>
      </c>
      <c r="AJ35" s="207">
        <v>45320</v>
      </c>
      <c r="AK35" s="207">
        <v>45330</v>
      </c>
      <c r="AL35" s="207">
        <v>45376</v>
      </c>
      <c r="AM35" s="205" t="s">
        <v>424</v>
      </c>
      <c r="AN35" s="205" t="s">
        <v>424</v>
      </c>
      <c r="AO35" s="205" t="s">
        <v>424</v>
      </c>
      <c r="AP35" s="205" t="s">
        <v>424</v>
      </c>
      <c r="AQ35" s="207">
        <v>45412</v>
      </c>
      <c r="AR35" s="207">
        <v>45393</v>
      </c>
      <c r="AS35" s="207">
        <v>45412</v>
      </c>
      <c r="AT35" s="207">
        <v>45393</v>
      </c>
      <c r="AU35" s="207">
        <v>45688</v>
      </c>
      <c r="AV35" s="205" t="s">
        <v>424</v>
      </c>
      <c r="AW35" s="205" t="s">
        <v>424</v>
      </c>
      <c r="AX35" s="206">
        <v>4000.57305</v>
      </c>
      <c r="AY35" s="206">
        <v>4800.6876599999996</v>
      </c>
      <c r="AZ35" s="206" t="s">
        <v>523</v>
      </c>
      <c r="BA35" s="206" t="s">
        <v>543</v>
      </c>
      <c r="BB35" s="206" t="s">
        <v>580</v>
      </c>
      <c r="BC35" s="206" t="s">
        <v>581</v>
      </c>
      <c r="BD35" s="206" t="str">
        <f t="shared" si="50"/>
        <v>ОБЩЕСТВО С ОГРАНИЧЕННОЙ ОТВЕТСТВЕННОСТЬЮ "ПРОЕКТНЫЙ ЦЕНТР СИБИРИ", ПИР, Выполнение проектно-изыскательских работ по проекту "Реконструкция ПС 220 кВ Восточная в части замены ячеек выключателей 110-220 кВ (7 шт.) с выполнением сопутствующего объема работ (в части ШСВ-220, В-220 3АТ,В-Б-1) 2ПК", договор № ИП-24-00061 от 11.04.2024</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511</v>
      </c>
      <c r="N36" s="205" t="s">
        <v>582</v>
      </c>
      <c r="O36" s="205" t="s">
        <v>513</v>
      </c>
      <c r="P36" s="206">
        <v>7013.5025845248001</v>
      </c>
      <c r="Q36" s="205" t="s">
        <v>514</v>
      </c>
      <c r="R36" s="206">
        <v>7013.5025845248001</v>
      </c>
      <c r="S36" s="205" t="s">
        <v>545</v>
      </c>
      <c r="T36" s="205" t="s">
        <v>545</v>
      </c>
      <c r="U36" s="205">
        <v>3</v>
      </c>
      <c r="V36" s="205">
        <v>1</v>
      </c>
      <c r="W36" s="205" t="s">
        <v>520</v>
      </c>
      <c r="X36" s="205">
        <v>7013.5025845248001</v>
      </c>
      <c r="Y36" s="205" t="s">
        <v>424</v>
      </c>
      <c r="Z36" s="205">
        <v>1</v>
      </c>
      <c r="AA36" s="205">
        <v>7013.5025845248001</v>
      </c>
      <c r="AB36" s="206">
        <v>7013.5025845248001</v>
      </c>
      <c r="AC36" s="205" t="s">
        <v>520</v>
      </c>
      <c r="AD36" s="206">
        <v>8416.203101429759</v>
      </c>
      <c r="AE36" s="247">
        <f t="shared" si="49"/>
        <v>8416.203101429759</v>
      </c>
      <c r="AF36" s="205">
        <v>32514468463</v>
      </c>
      <c r="AG36" s="205" t="s">
        <v>521</v>
      </c>
      <c r="AH36" s="205" t="s">
        <v>522</v>
      </c>
      <c r="AI36" s="207">
        <v>45688</v>
      </c>
      <c r="AJ36" s="207">
        <v>45688</v>
      </c>
      <c r="AK36" s="207">
        <v>45714</v>
      </c>
      <c r="AL36" s="207">
        <v>45721</v>
      </c>
      <c r="AM36" s="205" t="s">
        <v>424</v>
      </c>
      <c r="AN36" s="205" t="s">
        <v>424</v>
      </c>
      <c r="AO36" s="205" t="s">
        <v>424</v>
      </c>
      <c r="AP36" s="205" t="s">
        <v>424</v>
      </c>
      <c r="AQ36" s="207">
        <v>45741</v>
      </c>
      <c r="AR36" s="207">
        <v>45741</v>
      </c>
      <c r="AS36" s="207">
        <v>45741</v>
      </c>
      <c r="AT36" s="207">
        <v>45741</v>
      </c>
      <c r="AU36" s="207">
        <v>45838</v>
      </c>
      <c r="AV36" s="205" t="s">
        <v>424</v>
      </c>
      <c r="AW36" s="205" t="s">
        <v>424</v>
      </c>
      <c r="AX36" s="206">
        <v>6211.7419600000012</v>
      </c>
      <c r="AY36" s="206">
        <v>0</v>
      </c>
      <c r="AZ36" s="206" t="s">
        <v>523</v>
      </c>
      <c r="BA36" s="206" t="s">
        <v>524</v>
      </c>
      <c r="BB36" s="206" t="s">
        <v>520</v>
      </c>
      <c r="BC36" s="206" t="s">
        <v>583</v>
      </c>
      <c r="BD36" s="206" t="str">
        <f t="shared" si="50"/>
        <v>АКЦИОНЕРНОЕ ОБЩЕСТВО "РЕМОНТЭНЕРГОМОНТАЖ И СЕРВИС", СМР, Выполнение строительно-монтажных и пуско-наладочных работ по проекту  "Реконструкция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 (1ПК ОВ-220)", договор № ИП-25-00094 от 25.03.2025</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511</v>
      </c>
      <c r="N37" s="205" t="s">
        <v>584</v>
      </c>
      <c r="O37" s="205" t="s">
        <v>513</v>
      </c>
      <c r="P37" s="206">
        <v>22076.034615166907</v>
      </c>
      <c r="Q37" s="205" t="s">
        <v>514</v>
      </c>
      <c r="R37" s="206">
        <v>22076.034615166907</v>
      </c>
      <c r="S37" s="205" t="s">
        <v>515</v>
      </c>
      <c r="T37" s="205" t="s">
        <v>515</v>
      </c>
      <c r="U37" s="205">
        <v>3</v>
      </c>
      <c r="V37" s="205" t="s">
        <v>424</v>
      </c>
      <c r="W37" s="205" t="s">
        <v>518</v>
      </c>
      <c r="X37" s="205" t="s">
        <v>518</v>
      </c>
      <c r="Y37" s="205" t="s">
        <v>518</v>
      </c>
      <c r="Z37" s="205" t="s">
        <v>518</v>
      </c>
      <c r="AA37" s="205" t="s">
        <v>518</v>
      </c>
      <c r="AB37" s="206" t="s">
        <v>518</v>
      </c>
      <c r="AC37" s="205" t="s">
        <v>518</v>
      </c>
      <c r="AD37" s="206" t="s">
        <v>518</v>
      </c>
      <c r="AE37" s="247" t="str">
        <f t="shared" si="49"/>
        <v>нд</v>
      </c>
      <c r="AF37" s="205">
        <v>32514567824</v>
      </c>
      <c r="AG37" s="205" t="s">
        <v>521</v>
      </c>
      <c r="AH37" s="205" t="s">
        <v>522</v>
      </c>
      <c r="AI37" s="207">
        <v>45716</v>
      </c>
      <c r="AJ37" s="207">
        <v>45716</v>
      </c>
      <c r="AK37" s="207">
        <v>45733</v>
      </c>
      <c r="AL37" s="207">
        <v>45735</v>
      </c>
      <c r="AM37" s="205" t="s">
        <v>424</v>
      </c>
      <c r="AN37" s="205" t="s">
        <v>424</v>
      </c>
      <c r="AO37" s="205" t="s">
        <v>424</v>
      </c>
      <c r="AP37" s="205" t="s">
        <v>424</v>
      </c>
      <c r="AQ37" s="207" t="s">
        <v>518</v>
      </c>
      <c r="AR37" s="207" t="s">
        <v>518</v>
      </c>
      <c r="AS37" s="207" t="s">
        <v>518</v>
      </c>
      <c r="AT37" s="207" t="s">
        <v>518</v>
      </c>
      <c r="AU37" s="207" t="s">
        <v>518</v>
      </c>
      <c r="AV37" s="205" t="s">
        <v>424</v>
      </c>
      <c r="AW37" s="205" t="s">
        <v>424</v>
      </c>
      <c r="AX37" s="206">
        <v>0</v>
      </c>
      <c r="AY37" s="206">
        <v>0</v>
      </c>
      <c r="AZ37" s="206" t="s">
        <v>523</v>
      </c>
      <c r="BA37" s="206" t="s">
        <v>524</v>
      </c>
      <c r="BB37" s="206" t="s">
        <v>518</v>
      </c>
      <c r="BC37" s="206" t="s">
        <v>585</v>
      </c>
      <c r="BD37" s="206" t="str">
        <f t="shared" si="50"/>
        <v>-, СМР, Выполнение строительно-монтажных и пуско-наладочных работ по проекту  "Реконструкция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 (2ПК В-220-3АТ)", договор № Закупочная процедура признана несостоявшейся</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511</v>
      </c>
      <c r="N38" s="205" t="s">
        <v>586</v>
      </c>
      <c r="O38" s="205" t="s">
        <v>513</v>
      </c>
      <c r="P38" s="206">
        <v>13525</v>
      </c>
      <c r="Q38" s="205" t="s">
        <v>514</v>
      </c>
      <c r="R38" s="206">
        <v>13216</v>
      </c>
      <c r="S38" s="205" t="s">
        <v>515</v>
      </c>
      <c r="T38" s="205" t="s">
        <v>515</v>
      </c>
      <c r="U38" s="205">
        <v>3</v>
      </c>
      <c r="V38" s="205">
        <v>1</v>
      </c>
      <c r="W38" s="205" t="s">
        <v>520</v>
      </c>
      <c r="X38" s="205">
        <v>13216</v>
      </c>
      <c r="Y38" s="205" t="s">
        <v>424</v>
      </c>
      <c r="Z38" s="205">
        <v>1</v>
      </c>
      <c r="AA38" s="205">
        <v>13216</v>
      </c>
      <c r="AB38" s="206">
        <v>13216</v>
      </c>
      <c r="AC38" s="205" t="s">
        <v>520</v>
      </c>
      <c r="AD38" s="206">
        <v>15859.199999999999</v>
      </c>
      <c r="AE38" s="247">
        <f t="shared" si="49"/>
        <v>0</v>
      </c>
      <c r="AF38" s="205">
        <v>32413438071</v>
      </c>
      <c r="AG38" s="205" t="s">
        <v>521</v>
      </c>
      <c r="AH38" s="205" t="s">
        <v>522</v>
      </c>
      <c r="AI38" s="207">
        <v>45382</v>
      </c>
      <c r="AJ38" s="207">
        <v>45379</v>
      </c>
      <c r="AK38" s="207">
        <v>45397</v>
      </c>
      <c r="AL38" s="207">
        <v>45426</v>
      </c>
      <c r="AM38" s="205" t="s">
        <v>424</v>
      </c>
      <c r="AN38" s="205" t="s">
        <v>424</v>
      </c>
      <c r="AO38" s="205" t="s">
        <v>424</v>
      </c>
      <c r="AP38" s="205" t="s">
        <v>424</v>
      </c>
      <c r="AQ38" s="207">
        <v>45443</v>
      </c>
      <c r="AR38" s="207">
        <v>45446</v>
      </c>
      <c r="AS38" s="207">
        <v>45443</v>
      </c>
      <c r="AT38" s="207">
        <v>45446</v>
      </c>
      <c r="AU38" s="207">
        <v>45688</v>
      </c>
      <c r="AV38" s="205" t="s">
        <v>424</v>
      </c>
      <c r="AW38" s="205" t="s">
        <v>424</v>
      </c>
      <c r="AX38" s="206">
        <v>13215.99999</v>
      </c>
      <c r="AY38" s="206">
        <v>15859.2</v>
      </c>
      <c r="AZ38" s="206" t="s">
        <v>523</v>
      </c>
      <c r="BA38" s="206" t="s">
        <v>511</v>
      </c>
      <c r="BB38" s="206" t="s">
        <v>520</v>
      </c>
      <c r="BC38" s="206" t="s">
        <v>587</v>
      </c>
      <c r="BD38" s="206" t="str">
        <f t="shared" si="50"/>
        <v>АКЦИОНЕРНОЕ ОБЩЕСТВО "РЕМОНТЭНЕРГОМОНТАЖ И СЕРВИС", СМР, ПНР, 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(в части 1ПК В-Б-1 и  1ПК В-Б-2), договор № ИП-24-00108 от 03.06.2024</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511</v>
      </c>
      <c r="N39" s="205" t="s">
        <v>584</v>
      </c>
      <c r="O39" s="205" t="s">
        <v>513</v>
      </c>
      <c r="P39" s="206">
        <v>39860.603000000003</v>
      </c>
      <c r="Q39" s="205" t="s">
        <v>514</v>
      </c>
      <c r="R39" s="206">
        <v>39860.603000000003</v>
      </c>
      <c r="S39" s="205" t="s">
        <v>515</v>
      </c>
      <c r="T39" s="205" t="s">
        <v>515</v>
      </c>
      <c r="U39" s="205">
        <v>3</v>
      </c>
      <c r="V39" s="205">
        <v>3</v>
      </c>
      <c r="W39" s="205" t="s">
        <v>588</v>
      </c>
      <c r="X39" s="205" t="s">
        <v>589</v>
      </c>
      <c r="Y39" s="205" t="s">
        <v>424</v>
      </c>
      <c r="Z39" s="205">
        <v>1</v>
      </c>
      <c r="AA39" s="205" t="s">
        <v>590</v>
      </c>
      <c r="AB39" s="206">
        <v>39860.603000000003</v>
      </c>
      <c r="AC39" s="205" t="s">
        <v>591</v>
      </c>
      <c r="AD39" s="206">
        <v>47832.723600000005</v>
      </c>
      <c r="AE39" s="247">
        <f t="shared" si="49"/>
        <v>47832.723600000005</v>
      </c>
      <c r="AF39" s="205">
        <v>32514764881</v>
      </c>
      <c r="AG39" s="205" t="s">
        <v>521</v>
      </c>
      <c r="AH39" s="205" t="s">
        <v>522</v>
      </c>
      <c r="AI39" s="207">
        <v>45777</v>
      </c>
      <c r="AJ39" s="207">
        <v>45767</v>
      </c>
      <c r="AK39" s="207">
        <v>45783</v>
      </c>
      <c r="AL39" s="207">
        <v>45811</v>
      </c>
      <c r="AM39" s="205" t="s">
        <v>424</v>
      </c>
      <c r="AN39" s="205" t="s">
        <v>424</v>
      </c>
      <c r="AO39" s="205" t="s">
        <v>424</v>
      </c>
      <c r="AP39" s="205" t="s">
        <v>424</v>
      </c>
      <c r="AQ39" s="207">
        <v>45831</v>
      </c>
      <c r="AR39" s="207">
        <v>45834</v>
      </c>
      <c r="AS39" s="207">
        <v>45831</v>
      </c>
      <c r="AT39" s="207">
        <v>45831</v>
      </c>
      <c r="AU39" s="207">
        <v>46022</v>
      </c>
      <c r="AV39" s="205" t="s">
        <v>424</v>
      </c>
      <c r="AW39" s="205" t="s">
        <v>424</v>
      </c>
      <c r="AX39" s="206">
        <v>0</v>
      </c>
      <c r="AY39" s="206">
        <v>0</v>
      </c>
      <c r="AZ39" s="206" t="s">
        <v>523</v>
      </c>
      <c r="BA39" s="206" t="s">
        <v>511</v>
      </c>
      <c r="BB39" s="206" t="s">
        <v>591</v>
      </c>
      <c r="BC39" s="206" t="s">
        <v>592</v>
      </c>
      <c r="BD39" s="206" t="str">
        <f t="shared" si="50"/>
        <v>ОБЩЕСТВО С ОГРАНИЧЕННОЙ ОТВЕТСТВЕННОСТЬЮ "ВЕЛЛЭНЕРДЖИ", СМР, ПНР, Выполнение строительно-монтажных и пуско-наладочных работ по проекту  "Реконструкция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 (2ПК В-220-3АТ)", договор № ИП-25-00231 от 26.06.2025</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526</v>
      </c>
      <c r="N40" s="205" t="s">
        <v>593</v>
      </c>
      <c r="O40" s="205" t="s">
        <v>513</v>
      </c>
      <c r="P40" s="206">
        <v>55485</v>
      </c>
      <c r="Q40" s="205" t="s">
        <v>514</v>
      </c>
      <c r="R40" s="206">
        <v>55485</v>
      </c>
      <c r="S40" s="205" t="s">
        <v>594</v>
      </c>
      <c r="T40" s="205" t="s">
        <v>594</v>
      </c>
      <c r="U40" s="205">
        <v>1</v>
      </c>
      <c r="V40" s="205">
        <v>1</v>
      </c>
      <c r="W40" s="205" t="s">
        <v>424</v>
      </c>
      <c r="X40" s="205">
        <v>55485</v>
      </c>
      <c r="Y40" s="205" t="s">
        <v>518</v>
      </c>
      <c r="Z40" s="205">
        <v>1</v>
      </c>
      <c r="AA40" s="205">
        <v>55410</v>
      </c>
      <c r="AB40" s="206">
        <v>55410</v>
      </c>
      <c r="AC40" s="205" t="s">
        <v>595</v>
      </c>
      <c r="AD40" s="206">
        <v>66492</v>
      </c>
      <c r="AE40" s="247">
        <f t="shared" si="49"/>
        <v>360</v>
      </c>
      <c r="AF40" s="205">
        <v>32312621092</v>
      </c>
      <c r="AG40" s="205" t="s">
        <v>521</v>
      </c>
      <c r="AH40" s="205" t="s">
        <v>522</v>
      </c>
      <c r="AI40" s="207">
        <v>45138</v>
      </c>
      <c r="AJ40" s="207">
        <v>45134</v>
      </c>
      <c r="AK40" s="207">
        <v>45152</v>
      </c>
      <c r="AL40" s="207">
        <v>45175</v>
      </c>
      <c r="AM40" s="205" t="s">
        <v>424</v>
      </c>
      <c r="AN40" s="205" t="s">
        <v>424</v>
      </c>
      <c r="AO40" s="205" t="s">
        <v>424</v>
      </c>
      <c r="AP40" s="205" t="s">
        <v>424</v>
      </c>
      <c r="AQ40" s="207">
        <v>45195</v>
      </c>
      <c r="AR40" s="207">
        <v>45187</v>
      </c>
      <c r="AS40" s="207">
        <v>45195</v>
      </c>
      <c r="AT40" s="207">
        <v>45187</v>
      </c>
      <c r="AU40" s="207">
        <v>45412</v>
      </c>
      <c r="AV40" s="205" t="s">
        <v>424</v>
      </c>
      <c r="AW40" s="205" t="s">
        <v>424</v>
      </c>
      <c r="AX40" s="206">
        <v>55410</v>
      </c>
      <c r="AY40" s="206">
        <v>66132</v>
      </c>
      <c r="AZ40" s="206" t="s">
        <v>533</v>
      </c>
      <c r="BA40" s="206" t="s">
        <v>526</v>
      </c>
      <c r="BB40" s="206" t="s">
        <v>595</v>
      </c>
      <c r="BC40" s="206" t="s">
        <v>596</v>
      </c>
      <c r="BD40" s="206" t="str">
        <f t="shared" si="50"/>
        <v>ОБЩЕСТВО С ОГРАНИЧЕННОЙ ОТВЕТСТВЕННОСТЬЮ "ИНЖЕНЕРНЫЙ ЦЕНТР СИБИРИ", ТМЦ, Поставка выключателей баковых элегазовых ПС 220 кВ Восточная, договор № ПД-23-00286 от 18.08.2023</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M_00.0007.000007</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610</v>
      </c>
    </row>
    <row r="22" spans="1:2" x14ac:dyDescent="0.25">
      <c r="A22" s="153" t="s">
        <v>305</v>
      </c>
      <c r="B22" s="153" t="s">
        <v>615</v>
      </c>
    </row>
    <row r="23" spans="1:2" x14ac:dyDescent="0.25">
      <c r="A23" s="153" t="s">
        <v>287</v>
      </c>
      <c r="B23" s="153" t="s">
        <v>599</v>
      </c>
    </row>
    <row r="24" spans="1:2" x14ac:dyDescent="0.25">
      <c r="A24" s="153" t="s">
        <v>306</v>
      </c>
      <c r="B24" s="153" t="s">
        <v>424</v>
      </c>
    </row>
    <row r="25" spans="1:2" x14ac:dyDescent="0.25">
      <c r="A25" s="154" t="s">
        <v>307</v>
      </c>
      <c r="B25" s="171">
        <v>47097</v>
      </c>
    </row>
    <row r="26" spans="1:2" x14ac:dyDescent="0.25">
      <c r="A26" s="154" t="s">
        <v>308</v>
      </c>
      <c r="B26" s="156" t="s">
        <v>614</v>
      </c>
    </row>
    <row r="27" spans="1:2" x14ac:dyDescent="0.25">
      <c r="A27" s="156" t="str">
        <f>CONCATENATE("Стоимость проекта в прогнозных ценах, млн. руб. с НДС")</f>
        <v>Стоимость проекта в прогнозных ценах, млн. руб. с НДС</v>
      </c>
      <c r="B27" s="167">
        <v>518.13583918463053</v>
      </c>
    </row>
    <row r="28" spans="1:2" ht="93.75" customHeight="1" x14ac:dyDescent="0.25">
      <c r="A28" s="155" t="s">
        <v>309</v>
      </c>
      <c r="B28" s="158" t="s">
        <v>600</v>
      </c>
    </row>
    <row r="29" spans="1:2" ht="28.5" x14ac:dyDescent="0.25">
      <c r="A29" s="156" t="s">
        <v>310</v>
      </c>
      <c r="B29" s="167">
        <f>'7. Паспорт отчет о закупке'!$AB$26*1.2/1000</f>
        <v>405.52873627140036</v>
      </c>
    </row>
    <row r="30" spans="1:2" ht="28.5" x14ac:dyDescent="0.25">
      <c r="A30" s="156" t="s">
        <v>311</v>
      </c>
      <c r="B30" s="167">
        <f>'7. Паспорт отчет о закупке'!$AD$26/1000</f>
        <v>326.70629763653596</v>
      </c>
    </row>
    <row r="31" spans="1:2" x14ac:dyDescent="0.25">
      <c r="A31" s="155" t="s">
        <v>312</v>
      </c>
      <c r="B31" s="157"/>
    </row>
    <row r="32" spans="1:2" ht="28.5" x14ac:dyDescent="0.25">
      <c r="A32" s="156" t="s">
        <v>313</v>
      </c>
      <c r="B32" s="167">
        <f>SUM(SUMIF(B33,"&gt;0",B33),SUMIF(B37,"&gt;0",B37),SUMIF(B41,"&gt;0",B41),SUMIF(B45,"&gt;0",B45),SUMIF(B49,"&gt;0",B49),SUMIF(B53,"&gt;0",B53))</f>
        <v>74.454635109999984</v>
      </c>
    </row>
    <row r="33" spans="1:2" ht="30" x14ac:dyDescent="0.25">
      <c r="A33" s="164" t="s">
        <v>432</v>
      </c>
      <c r="B33" s="157">
        <f>IFERROR(IF(VLOOKUP(1,'7. Паспорт отчет о закупке'!$A$27:$CD$86,52,0)="ИП",VLOOKUP(1,'7. Паспорт отчет о закупке'!$A$27:$CD$86,30,0)/1000,"нд"),"нд")</f>
        <v>43.293599999999998</v>
      </c>
    </row>
    <row r="34" spans="1:2" x14ac:dyDescent="0.25">
      <c r="A34" s="164" t="s">
        <v>314</v>
      </c>
      <c r="B34" s="157">
        <f>IF(B33="нд","нд",$B33/$B$27*100)</f>
        <v>8.3556466713689197</v>
      </c>
    </row>
    <row r="35" spans="1:2" x14ac:dyDescent="0.25">
      <c r="A35" s="164" t="s">
        <v>315</v>
      </c>
      <c r="B35" s="157">
        <f>IF(VLOOKUP(1,'7. Паспорт отчет о закупке'!$A$27:$CD$86,52,0)="ИП",VLOOKUP(1,'7. Паспорт отчет о закупке'!$A$27:$CD$86,51,0)/1000,"нд")</f>
        <v>36.587770039999995</v>
      </c>
    </row>
    <row r="36" spans="1:2" x14ac:dyDescent="0.25">
      <c r="A36" s="164" t="s">
        <v>436</v>
      </c>
      <c r="B36" s="157">
        <f>IF(VLOOKUP(1,'7. Паспорт отчет о закупке'!$A$27:$CD$86,52,0)="ИП",VLOOKUP(1,'7. Паспорт отчет о закупке'!$A$27:$CD$86,50,0)/1000,"нд")</f>
        <v>30.489808370000002</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f>IF(VLOOKUP(3,'7. Паспорт отчет о закупке'!$A$27:$CD$86,52,0)="ИП",VLOOKUP(3,'7. Паспорт отчет о закупке'!$A$27:$CD$86,30,0)/1000,"нд")</f>
        <v>24.985199999999999</v>
      </c>
    </row>
    <row r="42" spans="1:2" x14ac:dyDescent="0.25">
      <c r="A42" s="164" t="s">
        <v>314</v>
      </c>
      <c r="B42" s="157">
        <f>IF(B41="нд","нд",$B41/$B$27*100)</f>
        <v>4.8221331377729442</v>
      </c>
    </row>
    <row r="43" spans="1:2" x14ac:dyDescent="0.25">
      <c r="A43" s="164" t="s">
        <v>315</v>
      </c>
      <c r="B43" s="157">
        <f>IF(VLOOKUP(3,'7. Паспорт отчет о закупке'!$A$27:$CD$86,52,0)="ИП",VLOOKUP(3,'7. Паспорт отчет о закупке'!$A$27:$CD$86,51,0)/1000,"нд")</f>
        <v>13.05172292</v>
      </c>
    </row>
    <row r="44" spans="1:2" x14ac:dyDescent="0.25">
      <c r="A44" s="164" t="s">
        <v>436</v>
      </c>
      <c r="B44" s="157">
        <f>IF(VLOOKUP(3,'7. Паспорт отчет о закупке'!$A$27:$CD$86,52,0)="ИП",VLOOKUP(3,'7. Паспорт отчет о закупке'!$A$27:$CD$86,50,0)/1000,"нд")</f>
        <v>12.598085769999999</v>
      </c>
    </row>
    <row r="45" spans="1:2" ht="30" x14ac:dyDescent="0.25">
      <c r="A45" s="164" t="s">
        <v>432</v>
      </c>
      <c r="B45" s="157">
        <f>IF(VLOOKUP(4,'7. Паспорт отчет о закупке'!$A$27:$CD$86,52,0)="ИП",VLOOKUP(4,'7. Паспорт отчет о закупке'!$A$27:$CD$86,30,0)/1000,"нд")</f>
        <v>2.94</v>
      </c>
    </row>
    <row r="46" spans="1:2" x14ac:dyDescent="0.25">
      <c r="A46" s="164" t="s">
        <v>314</v>
      </c>
      <c r="B46" s="157">
        <f>IF(B45="нд","нд",$B45/$B$27*100)</f>
        <v>0.5674187689132949</v>
      </c>
    </row>
    <row r="47" spans="1:2" x14ac:dyDescent="0.25">
      <c r="A47" s="164" t="s">
        <v>315</v>
      </c>
      <c r="B47" s="157">
        <f>IF(VLOOKUP(4,'7. Паспорт отчет о закупке'!$A$27:$CD$86,52,0)="ИП",VLOOKUP(4,'7. Паспорт отчет о закупке'!$A$27:$CD$86,51,0)/1000,"нд")</f>
        <v>2.94</v>
      </c>
    </row>
    <row r="48" spans="1:2" x14ac:dyDescent="0.25">
      <c r="A48" s="164" t="s">
        <v>436</v>
      </c>
      <c r="B48" s="157">
        <f>IF(VLOOKUP(4,'7. Паспорт отчет о закупке'!$A$27:$CD$86,52,0)="ИП",VLOOKUP(4,'7. Паспорт отчет о закупке'!$A$27:$CD$86,50,0)/1000,"нд")</f>
        <v>2.4500000000000002</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f>IF(VLOOKUP(6,'7. Паспорт отчет о закупке'!$A$27:$CD$86,52,0)="ИП",VLOOKUP(6,'7. Паспорт отчет о закупке'!$A$27:$CD$86,30,0)/1000,"нд")</f>
        <v>3.23583511</v>
      </c>
    </row>
    <row r="54" spans="1:2" x14ac:dyDescent="0.25">
      <c r="A54" s="164" t="s">
        <v>314</v>
      </c>
      <c r="B54" s="157">
        <f>IF(B53="нд","нд",$B53/$B$27*100)</f>
        <v>0.62451482126619595</v>
      </c>
    </row>
    <row r="55" spans="1:2" x14ac:dyDescent="0.25">
      <c r="A55" s="164" t="s">
        <v>315</v>
      </c>
      <c r="B55" s="157">
        <f>IF(VLOOKUP(6,'7. Паспорт отчет о закупке'!$A$27:$CD$86,52,0)="ИП",VLOOKUP(6,'7. Паспорт отчет о закупке'!$A$27:$CD$86,51,0)/1000,"нд")</f>
        <v>3.23583511</v>
      </c>
    </row>
    <row r="56" spans="1:2" x14ac:dyDescent="0.25">
      <c r="A56" s="164" t="s">
        <v>436</v>
      </c>
      <c r="B56" s="157">
        <f>IF(VLOOKUP(6,'7. Паспорт отчет о закупке'!$A$27:$CD$86,52,0)="ИП",VLOOKUP(6,'7. Паспорт отчет о закупке'!$A$27:$CD$86,50,0)/1000,"нд")</f>
        <v>2.6965292599999997</v>
      </c>
    </row>
    <row r="57" spans="1:2" ht="28.5" x14ac:dyDescent="0.25">
      <c r="A57" s="165" t="s">
        <v>316</v>
      </c>
      <c r="B57" s="167">
        <f>SUM(SUMIF(B58,"&gt;0",B58),SUMIF(B62,"&gt;0",B62),SUMIF(B66,"&gt;0",B66),SUMIF(B70,"&gt;0",B70),SUMIF(B74,"&gt;0",B74))</f>
        <v>49.199192225106138</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f>IF(VLOOKUP(2,'7. Паспорт отчет о закупке'!$A$27:$CD$86,52,0)="ПД",VLOOKUP(2,'7. Паспорт отчет о закупке'!$A$27:$CD$86,30,0)/1000,"нд")</f>
        <v>32.370227465970608</v>
      </c>
    </row>
    <row r="63" spans="1:2" x14ac:dyDescent="0.25">
      <c r="A63" s="164" t="s">
        <v>314</v>
      </c>
      <c r="B63" s="157">
        <f>IF(B62="нд","нд",$B62/$B$27*100)</f>
        <v>6.2474403463212136</v>
      </c>
    </row>
    <row r="64" spans="1:2" x14ac:dyDescent="0.25">
      <c r="A64" s="164" t="s">
        <v>315</v>
      </c>
      <c r="B64" s="157">
        <f>IF(VLOOKUP(2,'7. Паспорт отчет о закупке'!$A$27:$CD$86,52,0)="ПД",VLOOKUP(2,'7. Паспорт отчет о закупке'!$A$27:$CD$86,51,0)/1000,"нд")</f>
        <v>34.078456799999998</v>
      </c>
    </row>
    <row r="65" spans="1:2" x14ac:dyDescent="0.25">
      <c r="A65" s="164" t="s">
        <v>436</v>
      </c>
      <c r="B65" s="157">
        <f>IF(VLOOKUP(2,'7. Паспорт отчет о закупке'!$A$27:$CD$86,52,0)="ПД",VLOOKUP(2,'7. Паспорт отчет о закупке'!$A$27:$CD$86,50,0)/1000,"нд")</f>
        <v>28.398713999999998</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f>IF(VLOOKUP(5,'7. Паспорт отчет о закупке'!$A$27:$CD$86,52,0)="ПД",VLOOKUP(5,'7. Паспорт отчет о закупке'!$A$27:$CD$86,30,0)/1000,"нд")</f>
        <v>16.82896475913553</v>
      </c>
    </row>
    <row r="75" spans="1:2" x14ac:dyDescent="0.25">
      <c r="A75" s="164" t="s">
        <v>314</v>
      </c>
      <c r="B75" s="157">
        <f>IF(B74="нд","нд",$B74/$B$27*100)</f>
        <v>3.2479831516033695</v>
      </c>
    </row>
    <row r="76" spans="1:2" x14ac:dyDescent="0.25">
      <c r="A76" s="164" t="s">
        <v>315</v>
      </c>
      <c r="B76" s="157">
        <f>IF(VLOOKUP(5,'7. Паспорт отчет о закупке'!$A$27:$CD$86,52,0)="ПД",VLOOKUP(5,'7. Паспорт отчет о закупке'!$A$27:$CD$86,51,0)/1000,"нд")</f>
        <v>16.835999999999999</v>
      </c>
    </row>
    <row r="77" spans="1:2" x14ac:dyDescent="0.25">
      <c r="A77" s="164" t="s">
        <v>436</v>
      </c>
      <c r="B77" s="157">
        <f>IF(VLOOKUP(5,'7. Паспорт отчет о закупке'!$A$27:$CD$86,52,0)="ПД",VLOOKUP(5,'7. Паспорт отчет о закупке'!$A$27:$CD$86,50,0)/1000,"нд")</f>
        <v>14.03</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26.196314546591971</v>
      </c>
      <c r="C85" s="188"/>
      <c r="D85" s="189"/>
      <c r="E85" s="188"/>
      <c r="F85" s="188"/>
      <c r="G85" s="188"/>
    </row>
    <row r="86" spans="1:7" x14ac:dyDescent="0.25">
      <c r="A86" s="159" t="s">
        <v>320</v>
      </c>
      <c r="B86" s="162">
        <f>SUMIF('7. Паспорт отчет о закупке'!$BA$27:$BA$86,"ТМЦ",'7. Паспорт отчет о закупке'!$AD$27:$AD$86)/1000/$B$27*100</f>
        <v>22.328351655265678</v>
      </c>
      <c r="C86" s="188"/>
      <c r="D86" s="189"/>
      <c r="E86" s="188"/>
      <c r="F86" s="188"/>
      <c r="G86" s="188"/>
    </row>
    <row r="87" spans="1:7" x14ac:dyDescent="0.25">
      <c r="A87" s="159" t="s">
        <v>321</v>
      </c>
      <c r="B87" s="162">
        <f>SUMIF('7. Паспорт отчет о закупке'!$BA$27:$BA$86,"ПИР",'7. Паспорт отчет о закупке'!$AD$27:$AD$86)/1000/$B$27*100</f>
        <v>2.2369978533505415</v>
      </c>
      <c r="C87" s="188"/>
      <c r="D87" s="189"/>
      <c r="E87" s="188"/>
      <c r="F87" s="188"/>
      <c r="G87" s="188"/>
    </row>
    <row r="88" spans="1:7" ht="30" x14ac:dyDescent="0.25">
      <c r="A88" s="154" t="s">
        <v>438</v>
      </c>
      <c r="B88" s="167">
        <v>22.49567186732785</v>
      </c>
      <c r="C88" s="188"/>
      <c r="D88" s="188"/>
      <c r="E88" s="188"/>
      <c r="F88" s="188"/>
      <c r="G88" s="188"/>
    </row>
    <row r="89" spans="1:7" x14ac:dyDescent="0.25">
      <c r="A89" s="154" t="s">
        <v>322</v>
      </c>
      <c r="B89" s="167">
        <f>'6.2. Паспорт фин осв ввод'!D24-'6.2. Паспорт фин осв ввод'!E24</f>
        <v>284.17081718046006</v>
      </c>
    </row>
    <row r="90" spans="1:7" x14ac:dyDescent="0.25">
      <c r="A90" s="154" t="s">
        <v>435</v>
      </c>
      <c r="B90" s="167">
        <f>IFERROR(SUM(B91*1.2/$B$27*100),0)</f>
        <v>55.413169220608651</v>
      </c>
    </row>
    <row r="91" spans="1:7" x14ac:dyDescent="0.25">
      <c r="A91" s="154" t="s">
        <v>440</v>
      </c>
      <c r="B91" s="167">
        <f>'6.2. Паспорт фин осв ввод'!D34-'6.2. Паспорт фин осв ввод'!E34</f>
        <v>239.26290780000005</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АКЦИОНЕРНОЕ ОБЩЕСТВО "РЕМОНТЭНЕРГОМОНТАЖ И СЕРВИС", СМР, 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договор № ИП-23-00070 от 23.03.2023
Индивидуальный предприниматель Григорьянц Артем Александрович, ТМЦ, Выключатель баковый элегазовый 110кВ и 220 кВ, договор № ПД-19-00155 от 28.06.2019
АО "РЭМиС", СМР, Проектно-изыскательские, строительно-монтажные и пусконаладочные работы по реконструкции ПС 220 кВ Восточная в части замены ячеек выключателей 110-220 кВ (7 шт.) с выполнением сопутствующего объема работ и реконструкции ПС 220 кВ Правобережная в части замены ячеек выключателей 220 кВ (3 шт.) с выполнением сопутствующего объема работ, договор № ИП-19-00124 от 08.07.2019
ООО  "ИНСТИТУТ ПРОЕКТИРОВАНИЯ ЭНЕРГЕТИЧЕСКИХ СИСТЕМ", ПИР, Выполнение проектно-изыскательских работ по реконструкции ПС 220 кВ Восточная в части замены ячеек выключателей 110-220 кВ (7 шт.) с выполнением сопутствующего объема работ, договор № ИП-20-00066 от 20.03.2020
Общество с ограниченной ответственностью "Инженерный центр Сибири", ТМЦ, Поставка разъединителей 110-220 кВ, договор № ПД-23-00052 от 14.03.2023
АКЦИОНЕРНОЕ ОБЩЕСТВО "РЕМОНТЭНЕРГОМОНТАЖ И СЕРВИС", СМР, 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в объеме выполнения работ по 1 ПК 2 этап (яч.ШСВ-220) , договор № ИП-22-00075 от 06.04.2022
ООО "ПЦ ЭКРА", ПИР, Выполнение проектно-изыскательских работ по проекту "Реконструкция ПС 220 кВ Восточная в части замены ячеек выключателей 110-220 кВ (7 шт.) с выполнением сопутствующего объема работ ", договор № ИП-22-00216 от 02.08.2022
АКЦИОНЕРНОЕ ОБЩЕСТВО "РЕМОНТЭНЕРГОМОНТАЖ И СЕРВИС",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
ОБЩЕСТВО С ОГРАНИЧЕННОЙ ОТВЕТСТВЕННОСТЬЮ "ПРОЕКТНЫЙ ЦЕНТР СИБИРИ", ПИР, Выполнение проектно-изыскательских работ по проекту "Реконструкция ПС 220 кВ Восточная в части замены ячеек выключателей 110-220 кВ (7 шт.) с выполнением сопутствующего объема работ (в части ШСВ-220, В-220 3АТ,В-Б-1) 2ПК", договор № ИП-24-00061 от 11.04.2024
АКЦИОНЕРНОЕ ОБЩЕСТВО "РЕМОНТЭНЕРГОМОНТАЖ И СЕРВИС", СМР, Выполнение строительно-монтажных и пуско-наладочных работ по проекту  "Реконструкция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 (1ПК ОВ-220)", договор № ИП-25-00094 от 25.03.2025
-, СМР, Выполнение строительно-монтажных и пуско-наладочных работ по проекту  "Реконструкция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 (2ПК В-220-3АТ)", договор № Закупочная процедура признана несостоявшейся
АКЦИОНЕРНОЕ ОБЩЕСТВО "РЕМОНТЭНЕРГОМОНТАЖ И СЕРВИС", СМР, ПНР, 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(в части 1ПК В-Б-1 и  1ПК В-Б-2), договор № ИП-24-00108 от 03.06.2024
ОБЩЕСТВО С ОГРАНИЧЕННОЙ ОТВЕТСТВЕННОСТЬЮ "ВЕЛЛЭНЕРДЖИ", СМР, ПНР, Выполнение строительно-монтажных и пуско-наладочных работ по проекту  "Реконструкция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 (2ПК В-220-3АТ)", договор № ИП-25-00231 от 26.06.2025
ОБЩЕСТВО С ОГРАНИЧЕННОЙ ОТВЕТСТВЕННОСТЬЮ "ИНЖЕНЕРНЫЙ ЦЕНТР СИБИРИ", ТМЦ, Поставка выключателей баковых элегазовых ПС 220 кВ Восточная, договор № ПД-23-00286 от 18.08.2023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M_00.0007.000007</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M_00.0007.000007</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610</v>
      </c>
      <c r="C25" s="150" t="s">
        <v>610</v>
      </c>
      <c r="D25" s="150" t="s">
        <v>381</v>
      </c>
      <c r="E25" s="150" t="s">
        <v>616</v>
      </c>
      <c r="F25" s="150" t="s">
        <v>617</v>
      </c>
      <c r="G25" s="150" t="s">
        <v>618</v>
      </c>
      <c r="H25" s="150" t="s">
        <v>618</v>
      </c>
      <c r="I25" s="150">
        <v>1983</v>
      </c>
      <c r="J25" s="150">
        <v>2020</v>
      </c>
      <c r="K25" s="150">
        <v>1988</v>
      </c>
      <c r="L25" s="150">
        <v>220</v>
      </c>
      <c r="M25" s="150">
        <v>220</v>
      </c>
      <c r="N25" s="150" t="s">
        <v>424</v>
      </c>
      <c r="O25" s="150" t="s">
        <v>424</v>
      </c>
      <c r="P25" s="235">
        <v>2018</v>
      </c>
      <c r="Q25" s="150" t="s">
        <v>619</v>
      </c>
      <c r="R25" s="150" t="s">
        <v>620</v>
      </c>
      <c r="S25" s="150" t="s">
        <v>424</v>
      </c>
      <c r="T25" s="150" t="s">
        <v>424</v>
      </c>
    </row>
    <row r="26" spans="1:20" s="151" customFormat="1" ht="112.5" customHeight="1" x14ac:dyDescent="0.25">
      <c r="A26" s="150">
        <v>2</v>
      </c>
      <c r="B26" s="150" t="s">
        <v>610</v>
      </c>
      <c r="C26" s="150" t="s">
        <v>610</v>
      </c>
      <c r="D26" s="150" t="s">
        <v>381</v>
      </c>
      <c r="E26" s="150" t="s">
        <v>621</v>
      </c>
      <c r="F26" s="150" t="s">
        <v>617</v>
      </c>
      <c r="G26" s="150" t="s">
        <v>622</v>
      </c>
      <c r="H26" s="150" t="s">
        <v>622</v>
      </c>
      <c r="I26" s="150">
        <v>1971</v>
      </c>
      <c r="J26" s="150" t="s">
        <v>424</v>
      </c>
      <c r="K26" s="150">
        <v>1972</v>
      </c>
      <c r="L26" s="150">
        <v>220</v>
      </c>
      <c r="M26" s="150">
        <v>220</v>
      </c>
      <c r="N26" s="150" t="s">
        <v>424</v>
      </c>
      <c r="O26" s="150" t="s">
        <v>424</v>
      </c>
      <c r="P26" s="150">
        <v>2014</v>
      </c>
      <c r="Q26" s="150" t="s">
        <v>619</v>
      </c>
      <c r="R26" s="150" t="s">
        <v>620</v>
      </c>
      <c r="S26" s="150" t="s">
        <v>424</v>
      </c>
      <c r="T26" s="150" t="s">
        <v>424</v>
      </c>
    </row>
    <row r="27" spans="1:20" s="151" customFormat="1" ht="112.5" customHeight="1" x14ac:dyDescent="0.25">
      <c r="A27" s="150">
        <v>3</v>
      </c>
      <c r="B27" s="150" t="s">
        <v>610</v>
      </c>
      <c r="C27" s="150" t="s">
        <v>610</v>
      </c>
      <c r="D27" s="150" t="s">
        <v>381</v>
      </c>
      <c r="E27" s="150" t="s">
        <v>623</v>
      </c>
      <c r="F27" s="150" t="s">
        <v>617</v>
      </c>
      <c r="G27" s="150" t="s">
        <v>624</v>
      </c>
      <c r="H27" s="150" t="s">
        <v>624</v>
      </c>
      <c r="I27" s="150">
        <v>1989</v>
      </c>
      <c r="J27" s="150">
        <v>2024</v>
      </c>
      <c r="K27" s="150">
        <v>1992</v>
      </c>
      <c r="L27" s="150">
        <v>220</v>
      </c>
      <c r="M27" s="150">
        <v>220</v>
      </c>
      <c r="N27" s="150" t="s">
        <v>424</v>
      </c>
      <c r="O27" s="150" t="s">
        <v>424</v>
      </c>
      <c r="P27" s="150">
        <v>2018</v>
      </c>
      <c r="Q27" s="150" t="s">
        <v>619</v>
      </c>
      <c r="R27" s="150" t="s">
        <v>620</v>
      </c>
      <c r="S27" s="150" t="s">
        <v>424</v>
      </c>
      <c r="T27" s="150" t="s">
        <v>424</v>
      </c>
    </row>
    <row r="28" spans="1:20" s="151" customFormat="1" ht="112.5" customHeight="1" x14ac:dyDescent="0.25">
      <c r="A28" s="150">
        <v>4</v>
      </c>
      <c r="B28" s="150" t="s">
        <v>610</v>
      </c>
      <c r="C28" s="150" t="s">
        <v>610</v>
      </c>
      <c r="D28" s="150" t="s">
        <v>381</v>
      </c>
      <c r="E28" s="150" t="s">
        <v>623</v>
      </c>
      <c r="F28" s="150" t="s">
        <v>617</v>
      </c>
      <c r="G28" s="150" t="s">
        <v>625</v>
      </c>
      <c r="H28" s="150" t="s">
        <v>625</v>
      </c>
      <c r="I28" s="150">
        <v>1993</v>
      </c>
      <c r="J28" s="150">
        <v>2024</v>
      </c>
      <c r="K28" s="150">
        <v>1993</v>
      </c>
      <c r="L28" s="150">
        <v>220</v>
      </c>
      <c r="M28" s="150">
        <v>220</v>
      </c>
      <c r="N28" s="150" t="s">
        <v>424</v>
      </c>
      <c r="O28" s="150" t="s">
        <v>424</v>
      </c>
      <c r="P28" s="150">
        <v>2018</v>
      </c>
      <c r="Q28" s="150" t="s">
        <v>619</v>
      </c>
      <c r="R28" s="150" t="s">
        <v>620</v>
      </c>
      <c r="S28" s="150" t="s">
        <v>424</v>
      </c>
      <c r="T28" s="150" t="s">
        <v>424</v>
      </c>
    </row>
    <row r="29" spans="1:20" s="151" customFormat="1" ht="112.5" customHeight="1" x14ac:dyDescent="0.25">
      <c r="A29" s="150">
        <v>5</v>
      </c>
      <c r="B29" s="150" t="s">
        <v>610</v>
      </c>
      <c r="C29" s="150" t="s">
        <v>610</v>
      </c>
      <c r="D29" s="150" t="s">
        <v>381</v>
      </c>
      <c r="E29" s="150" t="s">
        <v>626</v>
      </c>
      <c r="F29" s="150" t="s">
        <v>617</v>
      </c>
      <c r="G29" s="150" t="s">
        <v>627</v>
      </c>
      <c r="H29" s="150" t="s">
        <v>627</v>
      </c>
      <c r="I29" s="150" t="s">
        <v>628</v>
      </c>
      <c r="J29" s="150">
        <v>2019</v>
      </c>
      <c r="K29" s="150" t="s">
        <v>629</v>
      </c>
      <c r="L29" s="150">
        <v>110</v>
      </c>
      <c r="M29" s="150">
        <v>110</v>
      </c>
      <c r="N29" s="150" t="s">
        <v>424</v>
      </c>
      <c r="O29" s="150" t="s">
        <v>424</v>
      </c>
      <c r="P29" s="150">
        <v>2012</v>
      </c>
      <c r="Q29" s="150" t="s">
        <v>619</v>
      </c>
      <c r="R29" s="150" t="s">
        <v>620</v>
      </c>
      <c r="S29" s="150" t="s">
        <v>424</v>
      </c>
      <c r="T29" s="150" t="s">
        <v>424</v>
      </c>
    </row>
    <row r="30" spans="1:20" s="151" customFormat="1" ht="112.5" customHeight="1" x14ac:dyDescent="0.25">
      <c r="A30" s="150">
        <v>6</v>
      </c>
      <c r="B30" s="150" t="s">
        <v>610</v>
      </c>
      <c r="C30" s="150" t="s">
        <v>610</v>
      </c>
      <c r="D30" s="150" t="s">
        <v>381</v>
      </c>
      <c r="E30" s="150" t="s">
        <v>626</v>
      </c>
      <c r="F30" s="150" t="s">
        <v>617</v>
      </c>
      <c r="G30" s="150" t="s">
        <v>630</v>
      </c>
      <c r="H30" s="150" t="s">
        <v>630</v>
      </c>
      <c r="I30" s="150" t="s">
        <v>631</v>
      </c>
      <c r="J30" s="150">
        <v>2019</v>
      </c>
      <c r="K30" s="150" t="s">
        <v>632</v>
      </c>
      <c r="L30" s="150">
        <v>110</v>
      </c>
      <c r="M30" s="150">
        <v>110</v>
      </c>
      <c r="N30" s="150" t="s">
        <v>424</v>
      </c>
      <c r="O30" s="150" t="s">
        <v>424</v>
      </c>
      <c r="P30" s="150">
        <v>2014</v>
      </c>
      <c r="Q30" s="150" t="s">
        <v>619</v>
      </c>
      <c r="R30" s="150" t="s">
        <v>620</v>
      </c>
      <c r="S30" s="150" t="s">
        <v>424</v>
      </c>
      <c r="T30" s="150" t="s">
        <v>424</v>
      </c>
    </row>
    <row r="31" spans="1:20" s="151" customFormat="1" ht="112.5" customHeight="1" x14ac:dyDescent="0.25">
      <c r="A31" s="150">
        <v>7</v>
      </c>
      <c r="B31" s="150" t="s">
        <v>610</v>
      </c>
      <c r="C31" s="150" t="s">
        <v>610</v>
      </c>
      <c r="D31" s="150" t="s">
        <v>381</v>
      </c>
      <c r="E31" s="150" t="s">
        <v>616</v>
      </c>
      <c r="F31" s="150" t="s">
        <v>617</v>
      </c>
      <c r="G31" s="150" t="s">
        <v>633</v>
      </c>
      <c r="H31" s="150" t="s">
        <v>633</v>
      </c>
      <c r="I31" s="150" t="s">
        <v>628</v>
      </c>
      <c r="J31" s="150">
        <v>2020</v>
      </c>
      <c r="K31" s="150" t="s">
        <v>634</v>
      </c>
      <c r="L31" s="150">
        <v>220</v>
      </c>
      <c r="M31" s="150">
        <v>220</v>
      </c>
      <c r="N31" s="150" t="s">
        <v>424</v>
      </c>
      <c r="O31" s="150" t="s">
        <v>424</v>
      </c>
      <c r="P31" s="150">
        <v>2018</v>
      </c>
      <c r="Q31" s="150" t="s">
        <v>619</v>
      </c>
      <c r="R31" s="150" t="s">
        <v>620</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M_00.0007.000007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M_00.0007.000007</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608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609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610</v>
      </c>
      <c r="D24" s="21"/>
      <c r="E24" s="21"/>
      <c r="F24" s="21"/>
      <c r="G24" s="21"/>
      <c r="H24" s="21"/>
      <c r="I24" s="21"/>
      <c r="J24" s="21"/>
      <c r="K24" s="21"/>
      <c r="L24" s="21"/>
      <c r="M24" s="21"/>
      <c r="N24" s="21"/>
      <c r="O24" s="21"/>
      <c r="P24" s="21"/>
      <c r="Q24" s="21"/>
      <c r="R24" s="21"/>
      <c r="S24" s="21"/>
      <c r="T24" s="21"/>
      <c r="U24" s="21"/>
    </row>
    <row r="25" spans="1:21" ht="47.25" x14ac:dyDescent="0.25">
      <c r="A25" s="22" t="s">
        <v>59</v>
      </c>
      <c r="B25" s="24" t="s">
        <v>411</v>
      </c>
      <c r="C25" s="28" t="s">
        <v>611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612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613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43605</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2028</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614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M_00.0007.000007</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M_00.0007.000007</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M_00.0007.000007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11" zoomScale="70" zoomScaleSheetLayoutView="70" workbookViewId="0">
      <selection activeCell="I25" sqref="I25:I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M_00.0007.000007</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443</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43605</v>
      </c>
      <c r="D25" s="285">
        <v>46384</v>
      </c>
      <c r="E25" s="285">
        <v>43605</v>
      </c>
      <c r="F25" s="285" t="s">
        <v>424</v>
      </c>
      <c r="G25" s="286">
        <v>0.75</v>
      </c>
      <c r="H25" s="286" t="s">
        <v>424</v>
      </c>
      <c r="I25" s="280" t="s">
        <v>601</v>
      </c>
      <c r="J25" s="280">
        <v>0</v>
      </c>
      <c r="L25" s="246"/>
      <c r="N25" s="238" t="str">
        <f>CONCATENATE($A$12,A25)</f>
        <v>M_00.0007.0000071</v>
      </c>
    </row>
    <row r="26" spans="1:14" x14ac:dyDescent="0.25">
      <c r="A26" s="281" t="s">
        <v>450</v>
      </c>
      <c r="B26" s="281" t="s">
        <v>451</v>
      </c>
      <c r="C26" s="285" t="s">
        <v>424</v>
      </c>
      <c r="D26" s="285" t="s">
        <v>424</v>
      </c>
      <c r="E26" s="285" t="s">
        <v>424</v>
      </c>
      <c r="F26" s="285" t="s">
        <v>424</v>
      </c>
      <c r="G26" s="286" t="s">
        <v>424</v>
      </c>
      <c r="H26" s="286" t="s">
        <v>424</v>
      </c>
      <c r="I26" s="280" t="s">
        <v>518</v>
      </c>
      <c r="J26" s="281" t="s">
        <v>424</v>
      </c>
      <c r="N26" s="238" t="str">
        <f t="shared" ref="N26:N54" si="0">CONCATENATE($A$12,A26)</f>
        <v>M_00.0007.0000071.1.</v>
      </c>
    </row>
    <row r="27" spans="1:14" x14ac:dyDescent="0.25">
      <c r="A27" s="281" t="s">
        <v>452</v>
      </c>
      <c r="B27" s="281" t="s">
        <v>453</v>
      </c>
      <c r="C27" s="285" t="s">
        <v>424</v>
      </c>
      <c r="D27" s="285" t="s">
        <v>424</v>
      </c>
      <c r="E27" s="285" t="s">
        <v>424</v>
      </c>
      <c r="F27" s="285" t="s">
        <v>424</v>
      </c>
      <c r="G27" s="286" t="s">
        <v>424</v>
      </c>
      <c r="H27" s="286" t="s">
        <v>424</v>
      </c>
      <c r="I27" s="280" t="s">
        <v>518</v>
      </c>
      <c r="J27" s="281" t="s">
        <v>424</v>
      </c>
      <c r="N27" s="238" t="str">
        <f t="shared" si="0"/>
        <v>M_00.0007.0000071.2.</v>
      </c>
    </row>
    <row r="28" spans="1:14" ht="31.5" x14ac:dyDescent="0.25">
      <c r="A28" s="281" t="s">
        <v>454</v>
      </c>
      <c r="B28" s="281" t="s">
        <v>455</v>
      </c>
      <c r="C28" s="285" t="s">
        <v>424</v>
      </c>
      <c r="D28" s="285" t="s">
        <v>424</v>
      </c>
      <c r="E28" s="285" t="s">
        <v>424</v>
      </c>
      <c r="F28" s="285" t="s">
        <v>424</v>
      </c>
      <c r="G28" s="286" t="s">
        <v>424</v>
      </c>
      <c r="H28" s="286" t="s">
        <v>424</v>
      </c>
      <c r="I28" s="280" t="s">
        <v>518</v>
      </c>
      <c r="J28" s="281" t="s">
        <v>424</v>
      </c>
      <c r="N28" s="238" t="str">
        <f t="shared" si="0"/>
        <v>M_00.0007.0000071.2.1.</v>
      </c>
    </row>
    <row r="29" spans="1:14" x14ac:dyDescent="0.25">
      <c r="A29" s="281" t="s">
        <v>456</v>
      </c>
      <c r="B29" s="281" t="s">
        <v>457</v>
      </c>
      <c r="C29" s="285" t="s">
        <v>424</v>
      </c>
      <c r="D29" s="285" t="s">
        <v>424</v>
      </c>
      <c r="E29" s="285" t="s">
        <v>424</v>
      </c>
      <c r="F29" s="285" t="s">
        <v>424</v>
      </c>
      <c r="G29" s="286" t="s">
        <v>424</v>
      </c>
      <c r="H29" s="286" t="s">
        <v>424</v>
      </c>
      <c r="I29" s="280" t="s">
        <v>518</v>
      </c>
      <c r="J29" s="281" t="s">
        <v>424</v>
      </c>
      <c r="N29" s="238" t="str">
        <f t="shared" si="0"/>
        <v>M_00.0007.0000071.3.</v>
      </c>
    </row>
    <row r="30" spans="1:14" x14ac:dyDescent="0.25">
      <c r="A30" s="281" t="s">
        <v>458</v>
      </c>
      <c r="B30" s="281" t="s">
        <v>459</v>
      </c>
      <c r="C30" s="285" t="s">
        <v>424</v>
      </c>
      <c r="D30" s="285" t="s">
        <v>424</v>
      </c>
      <c r="E30" s="285" t="s">
        <v>424</v>
      </c>
      <c r="F30" s="285" t="s">
        <v>424</v>
      </c>
      <c r="G30" s="286" t="s">
        <v>424</v>
      </c>
      <c r="H30" s="286" t="s">
        <v>424</v>
      </c>
      <c r="I30" s="280" t="s">
        <v>518</v>
      </c>
      <c r="J30" s="281" t="s">
        <v>424</v>
      </c>
      <c r="N30" s="238" t="str">
        <f t="shared" si="0"/>
        <v>M_00.0007.0000071.4.</v>
      </c>
    </row>
    <row r="31" spans="1:14" ht="157.5" x14ac:dyDescent="0.25">
      <c r="A31" s="281" t="s">
        <v>460</v>
      </c>
      <c r="B31" s="281" t="s">
        <v>461</v>
      </c>
      <c r="C31" s="285">
        <v>43605</v>
      </c>
      <c r="D31" s="285">
        <v>46053</v>
      </c>
      <c r="E31" s="285">
        <v>43605</v>
      </c>
      <c r="F31" s="285" t="s">
        <v>424</v>
      </c>
      <c r="G31" s="286" t="s">
        <v>639</v>
      </c>
      <c r="H31" s="286" t="s">
        <v>424</v>
      </c>
      <c r="I31" s="280" t="s">
        <v>602</v>
      </c>
      <c r="J31" s="281" t="s">
        <v>642</v>
      </c>
      <c r="N31" s="238" t="str">
        <f t="shared" si="0"/>
        <v>M_00.0007.0000071.5.</v>
      </c>
    </row>
    <row r="32" spans="1:14" ht="157.5" x14ac:dyDescent="0.25">
      <c r="A32" s="281" t="s">
        <v>462</v>
      </c>
      <c r="B32" s="281" t="s">
        <v>463</v>
      </c>
      <c r="C32" s="285">
        <v>43824</v>
      </c>
      <c r="D32" s="285">
        <v>46384</v>
      </c>
      <c r="E32" s="285">
        <v>43824</v>
      </c>
      <c r="F32" s="285" t="s">
        <v>424</v>
      </c>
      <c r="G32" s="286" t="s">
        <v>639</v>
      </c>
      <c r="H32" s="286" t="s">
        <v>424</v>
      </c>
      <c r="I32" s="280" t="s">
        <v>602</v>
      </c>
      <c r="J32" s="281" t="s">
        <v>642</v>
      </c>
      <c r="N32" s="238" t="str">
        <f t="shared" si="0"/>
        <v>M_00.0007.0000071.6.</v>
      </c>
    </row>
    <row r="33" spans="1:14" ht="31.5" x14ac:dyDescent="0.25">
      <c r="A33" s="281" t="s">
        <v>464</v>
      </c>
      <c r="B33" s="281" t="s">
        <v>465</v>
      </c>
      <c r="C33" s="285" t="s">
        <v>424</v>
      </c>
      <c r="D33" s="285" t="s">
        <v>424</v>
      </c>
      <c r="E33" s="285" t="s">
        <v>424</v>
      </c>
      <c r="F33" s="285" t="s">
        <v>424</v>
      </c>
      <c r="G33" s="286" t="s">
        <v>424</v>
      </c>
      <c r="H33" s="286" t="s">
        <v>424</v>
      </c>
      <c r="I33" s="280" t="s">
        <v>518</v>
      </c>
      <c r="J33" s="281" t="s">
        <v>424</v>
      </c>
      <c r="N33" s="238" t="str">
        <f t="shared" si="0"/>
        <v>M_00.0007.0000071.7.</v>
      </c>
    </row>
    <row r="34" spans="1:14" ht="31.5" x14ac:dyDescent="0.25">
      <c r="A34" s="281" t="s">
        <v>466</v>
      </c>
      <c r="B34" s="281" t="s">
        <v>467</v>
      </c>
      <c r="C34" s="285" t="s">
        <v>424</v>
      </c>
      <c r="D34" s="285" t="s">
        <v>424</v>
      </c>
      <c r="E34" s="285" t="s">
        <v>424</v>
      </c>
      <c r="F34" s="285" t="s">
        <v>424</v>
      </c>
      <c r="G34" s="286" t="s">
        <v>424</v>
      </c>
      <c r="H34" s="286" t="s">
        <v>424</v>
      </c>
      <c r="I34" s="280" t="s">
        <v>518</v>
      </c>
      <c r="J34" s="281" t="s">
        <v>424</v>
      </c>
      <c r="N34" s="238" t="str">
        <f t="shared" si="0"/>
        <v>M_00.0007.0000071.8.</v>
      </c>
    </row>
    <row r="35" spans="1:14" ht="157.5" x14ac:dyDescent="0.25">
      <c r="A35" s="281" t="s">
        <v>468</v>
      </c>
      <c r="B35" s="281" t="s">
        <v>469</v>
      </c>
      <c r="C35" s="285">
        <v>44867</v>
      </c>
      <c r="D35" s="285">
        <v>46352</v>
      </c>
      <c r="E35" s="285">
        <v>44867</v>
      </c>
      <c r="F35" s="285" t="s">
        <v>424</v>
      </c>
      <c r="G35" s="286" t="s">
        <v>639</v>
      </c>
      <c r="H35" s="286" t="s">
        <v>424</v>
      </c>
      <c r="I35" s="280" t="s">
        <v>602</v>
      </c>
      <c r="J35" s="281" t="s">
        <v>642</v>
      </c>
      <c r="N35" s="238" t="str">
        <f t="shared" si="0"/>
        <v>M_00.0007.0000071.9.</v>
      </c>
    </row>
    <row r="36" spans="1:14" x14ac:dyDescent="0.25">
      <c r="A36" s="281" t="s">
        <v>470</v>
      </c>
      <c r="B36" s="281" t="s">
        <v>471</v>
      </c>
      <c r="C36" s="285" t="s">
        <v>424</v>
      </c>
      <c r="D36" s="285" t="s">
        <v>424</v>
      </c>
      <c r="E36" s="285" t="s">
        <v>424</v>
      </c>
      <c r="F36" s="285" t="s">
        <v>424</v>
      </c>
      <c r="G36" s="286" t="s">
        <v>424</v>
      </c>
      <c r="H36" s="286" t="s">
        <v>424</v>
      </c>
      <c r="I36" s="280" t="s">
        <v>518</v>
      </c>
      <c r="J36" s="281" t="s">
        <v>424</v>
      </c>
      <c r="N36" s="238" t="str">
        <f t="shared" si="0"/>
        <v>M_00.0007.0000071.10.</v>
      </c>
    </row>
    <row r="37" spans="1:14" ht="157.5" x14ac:dyDescent="0.25">
      <c r="A37" s="281" t="s">
        <v>472</v>
      </c>
      <c r="B37" s="281" t="s">
        <v>473</v>
      </c>
      <c r="C37" s="285">
        <v>43605</v>
      </c>
      <c r="D37" s="285">
        <v>46352</v>
      </c>
      <c r="E37" s="285">
        <v>43605</v>
      </c>
      <c r="F37" s="285" t="s">
        <v>424</v>
      </c>
      <c r="G37" s="286" t="s">
        <v>639</v>
      </c>
      <c r="H37" s="286" t="s">
        <v>424</v>
      </c>
      <c r="I37" s="280" t="s">
        <v>602</v>
      </c>
      <c r="J37" s="281" t="s">
        <v>642</v>
      </c>
      <c r="N37" s="238" t="str">
        <f t="shared" si="0"/>
        <v>M_00.0007.0000071.11.</v>
      </c>
    </row>
    <row r="38" spans="1:14" x14ac:dyDescent="0.25">
      <c r="A38" s="280">
        <v>2</v>
      </c>
      <c r="B38" s="280" t="s">
        <v>509</v>
      </c>
      <c r="C38" s="285">
        <v>43605</v>
      </c>
      <c r="D38" s="285">
        <v>46793</v>
      </c>
      <c r="E38" s="285">
        <v>43605</v>
      </c>
      <c r="F38" s="285" t="s">
        <v>424</v>
      </c>
      <c r="G38" s="286">
        <v>0.82499999999999996</v>
      </c>
      <c r="H38" s="286">
        <v>0.5</v>
      </c>
      <c r="I38" s="280" t="s">
        <v>601</v>
      </c>
      <c r="J38" s="280">
        <v>0.5</v>
      </c>
      <c r="N38" s="238" t="str">
        <f t="shared" si="0"/>
        <v>M_00.0007.0000072</v>
      </c>
    </row>
    <row r="39" spans="1:14" ht="173.25" customHeight="1" x14ac:dyDescent="0.25">
      <c r="A39" s="282" t="s">
        <v>474</v>
      </c>
      <c r="B39" s="281" t="s">
        <v>475</v>
      </c>
      <c r="C39" s="285">
        <v>43605</v>
      </c>
      <c r="D39" s="285">
        <v>46783</v>
      </c>
      <c r="E39" s="285">
        <v>43605</v>
      </c>
      <c r="F39" s="285" t="s">
        <v>424</v>
      </c>
      <c r="G39" s="286" t="s">
        <v>640</v>
      </c>
      <c r="H39" s="286" t="s">
        <v>424</v>
      </c>
      <c r="I39" s="280" t="s">
        <v>602</v>
      </c>
      <c r="J39" s="281" t="s">
        <v>643</v>
      </c>
      <c r="N39" s="238" t="str">
        <f t="shared" si="0"/>
        <v>M_00.0007.0000072.1.</v>
      </c>
    </row>
    <row r="40" spans="1:14" ht="157.5" x14ac:dyDescent="0.25">
      <c r="A40" s="282" t="s">
        <v>476</v>
      </c>
      <c r="B40" s="281" t="s">
        <v>477</v>
      </c>
      <c r="C40" s="285">
        <v>43605</v>
      </c>
      <c r="D40" s="285">
        <v>46793</v>
      </c>
      <c r="E40" s="285">
        <v>43605</v>
      </c>
      <c r="F40" s="285" t="s">
        <v>424</v>
      </c>
      <c r="G40" s="286" t="s">
        <v>639</v>
      </c>
      <c r="H40" s="286" t="s">
        <v>424</v>
      </c>
      <c r="I40" s="280" t="s">
        <v>602</v>
      </c>
      <c r="J40" s="281" t="s">
        <v>642</v>
      </c>
      <c r="N40" s="238" t="str">
        <f t="shared" si="0"/>
        <v>M_00.0007.0000072.2.</v>
      </c>
    </row>
    <row r="41" spans="1:14" x14ac:dyDescent="0.25">
      <c r="A41" s="280">
        <v>3</v>
      </c>
      <c r="B41" s="280" t="s">
        <v>478</v>
      </c>
      <c r="C41" s="285">
        <v>43605</v>
      </c>
      <c r="D41" s="285">
        <v>47094</v>
      </c>
      <c r="E41" s="285">
        <v>43605</v>
      </c>
      <c r="F41" s="285" t="s">
        <v>424</v>
      </c>
      <c r="G41" s="286">
        <v>0.67500000000000004</v>
      </c>
      <c r="H41" s="286" t="s">
        <v>424</v>
      </c>
      <c r="I41" s="280" t="s">
        <v>601</v>
      </c>
      <c r="J41" s="280">
        <v>0</v>
      </c>
      <c r="N41" s="238" t="str">
        <f t="shared" si="0"/>
        <v>M_00.0007.0000073</v>
      </c>
    </row>
    <row r="42" spans="1:14" ht="157.5" x14ac:dyDescent="0.25">
      <c r="A42" s="281" t="s">
        <v>479</v>
      </c>
      <c r="B42" s="281" t="s">
        <v>480</v>
      </c>
      <c r="C42" s="285">
        <v>43605</v>
      </c>
      <c r="D42" s="285">
        <v>46874</v>
      </c>
      <c r="E42" s="285">
        <v>43605</v>
      </c>
      <c r="F42" s="285" t="s">
        <v>424</v>
      </c>
      <c r="G42" s="286" t="s">
        <v>639</v>
      </c>
      <c r="H42" s="286" t="s">
        <v>424</v>
      </c>
      <c r="I42" s="280" t="s">
        <v>602</v>
      </c>
      <c r="J42" s="281" t="s">
        <v>642</v>
      </c>
      <c r="N42" s="238" t="str">
        <f t="shared" si="0"/>
        <v>M_00.0007.0000073.1.</v>
      </c>
    </row>
    <row r="43" spans="1:14" ht="157.5" x14ac:dyDescent="0.25">
      <c r="A43" s="281" t="s">
        <v>481</v>
      </c>
      <c r="B43" s="281" t="s">
        <v>482</v>
      </c>
      <c r="C43" s="285">
        <v>43613</v>
      </c>
      <c r="D43" s="285">
        <v>46884</v>
      </c>
      <c r="E43" s="285">
        <v>43613</v>
      </c>
      <c r="F43" s="285" t="s">
        <v>424</v>
      </c>
      <c r="G43" s="286" t="s">
        <v>639</v>
      </c>
      <c r="H43" s="286" t="s">
        <v>424</v>
      </c>
      <c r="I43" s="280" t="s">
        <v>602</v>
      </c>
      <c r="J43" s="281" t="s">
        <v>642</v>
      </c>
      <c r="N43" s="238" t="str">
        <f t="shared" si="0"/>
        <v>M_00.0007.0000073.2.</v>
      </c>
    </row>
    <row r="44" spans="1:14" ht="157.5" x14ac:dyDescent="0.25">
      <c r="A44" s="281" t="s">
        <v>483</v>
      </c>
      <c r="B44" s="281" t="s">
        <v>484</v>
      </c>
      <c r="C44" s="285">
        <v>43605</v>
      </c>
      <c r="D44" s="285">
        <v>47034</v>
      </c>
      <c r="E44" s="285">
        <v>43605</v>
      </c>
      <c r="F44" s="285" t="s">
        <v>424</v>
      </c>
      <c r="G44" s="286" t="s">
        <v>641</v>
      </c>
      <c r="H44" s="286" t="s">
        <v>424</v>
      </c>
      <c r="I44" s="280" t="s">
        <v>602</v>
      </c>
      <c r="J44" s="281" t="s">
        <v>642</v>
      </c>
      <c r="N44" s="238" t="str">
        <f t="shared" si="0"/>
        <v>M_00.0007.0000073.3.</v>
      </c>
    </row>
    <row r="45" spans="1:14" ht="31.5" x14ac:dyDescent="0.25">
      <c r="A45" s="281" t="s">
        <v>485</v>
      </c>
      <c r="B45" s="281" t="s">
        <v>486</v>
      </c>
      <c r="C45" s="285" t="s">
        <v>424</v>
      </c>
      <c r="D45" s="285" t="s">
        <v>424</v>
      </c>
      <c r="E45" s="285" t="s">
        <v>424</v>
      </c>
      <c r="F45" s="285" t="s">
        <v>424</v>
      </c>
      <c r="G45" s="286" t="s">
        <v>424</v>
      </c>
      <c r="H45" s="286" t="s">
        <v>424</v>
      </c>
      <c r="I45" s="280" t="s">
        <v>518</v>
      </c>
      <c r="J45" s="281" t="s">
        <v>424</v>
      </c>
      <c r="N45" s="238" t="str">
        <f t="shared" si="0"/>
        <v>M_00.0007.0000073.4.</v>
      </c>
    </row>
    <row r="46" spans="1:14" ht="63" x14ac:dyDescent="0.25">
      <c r="A46" s="281" t="s">
        <v>487</v>
      </c>
      <c r="B46" s="281" t="s">
        <v>488</v>
      </c>
      <c r="C46" s="285" t="s">
        <v>424</v>
      </c>
      <c r="D46" s="285" t="s">
        <v>424</v>
      </c>
      <c r="E46" s="285" t="s">
        <v>424</v>
      </c>
      <c r="F46" s="285" t="s">
        <v>424</v>
      </c>
      <c r="G46" s="286" t="s">
        <v>424</v>
      </c>
      <c r="H46" s="286" t="s">
        <v>424</v>
      </c>
      <c r="I46" s="280" t="s">
        <v>518</v>
      </c>
      <c r="J46" s="281" t="s">
        <v>424</v>
      </c>
      <c r="N46" s="238" t="str">
        <f t="shared" si="0"/>
        <v>M_00.0007.0000073.5.</v>
      </c>
    </row>
    <row r="47" spans="1:14" ht="157.5" x14ac:dyDescent="0.25">
      <c r="A47" s="281" t="s">
        <v>489</v>
      </c>
      <c r="B47" s="281" t="s">
        <v>490</v>
      </c>
      <c r="C47" s="285" t="s">
        <v>424</v>
      </c>
      <c r="D47" s="285" t="s">
        <v>424</v>
      </c>
      <c r="E47" s="285">
        <v>43705</v>
      </c>
      <c r="F47" s="285" t="s">
        <v>424</v>
      </c>
      <c r="G47" s="286" t="s">
        <v>641</v>
      </c>
      <c r="H47" s="286" t="s">
        <v>424</v>
      </c>
      <c r="I47" s="280" t="s">
        <v>602</v>
      </c>
      <c r="J47" s="281" t="s">
        <v>642</v>
      </c>
      <c r="N47" s="238" t="str">
        <f t="shared" si="0"/>
        <v>M_00.0007.0000073.6.</v>
      </c>
    </row>
    <row r="48" spans="1:14" x14ac:dyDescent="0.25">
      <c r="A48" s="280">
        <v>4</v>
      </c>
      <c r="B48" s="280" t="s">
        <v>491</v>
      </c>
      <c r="C48" s="285">
        <v>44090</v>
      </c>
      <c r="D48" s="285">
        <v>47097</v>
      </c>
      <c r="E48" s="285">
        <v>44090</v>
      </c>
      <c r="F48" s="285" t="s">
        <v>424</v>
      </c>
      <c r="G48" s="286">
        <v>0.6</v>
      </c>
      <c r="H48" s="286" t="s">
        <v>424</v>
      </c>
      <c r="I48" s="280" t="s">
        <v>601</v>
      </c>
      <c r="J48" s="280">
        <v>0</v>
      </c>
      <c r="N48" s="238" t="str">
        <f t="shared" si="0"/>
        <v>M_00.0007.0000074</v>
      </c>
    </row>
    <row r="49" spans="1:14" ht="157.5" x14ac:dyDescent="0.25">
      <c r="A49" s="281" t="s">
        <v>492</v>
      </c>
      <c r="B49" s="281" t="s">
        <v>493</v>
      </c>
      <c r="C49" s="285">
        <v>44090</v>
      </c>
      <c r="D49" s="285">
        <v>47087</v>
      </c>
      <c r="E49" s="285">
        <v>44090</v>
      </c>
      <c r="F49" s="285" t="s">
        <v>424</v>
      </c>
      <c r="G49" s="286" t="s">
        <v>641</v>
      </c>
      <c r="H49" s="286" t="s">
        <v>424</v>
      </c>
      <c r="I49" s="280" t="s">
        <v>602</v>
      </c>
      <c r="J49" s="281" t="s">
        <v>642</v>
      </c>
      <c r="N49" s="238" t="str">
        <f t="shared" si="0"/>
        <v>M_00.0007.0000074.1.</v>
      </c>
    </row>
    <row r="50" spans="1:14" ht="47.25" x14ac:dyDescent="0.25">
      <c r="A50" s="281" t="s">
        <v>494</v>
      </c>
      <c r="B50" s="281" t="s">
        <v>495</v>
      </c>
      <c r="C50" s="285" t="s">
        <v>424</v>
      </c>
      <c r="D50" s="285" t="s">
        <v>424</v>
      </c>
      <c r="E50" s="285" t="s">
        <v>424</v>
      </c>
      <c r="F50" s="285" t="s">
        <v>424</v>
      </c>
      <c r="G50" s="286" t="s">
        <v>424</v>
      </c>
      <c r="H50" s="286" t="s">
        <v>424</v>
      </c>
      <c r="I50" s="280" t="s">
        <v>518</v>
      </c>
      <c r="J50" s="281" t="s">
        <v>424</v>
      </c>
      <c r="N50" s="238" t="str">
        <f t="shared" si="0"/>
        <v>M_00.0007.0000074.2.</v>
      </c>
    </row>
    <row r="51" spans="1:14" ht="31.5" x14ac:dyDescent="0.25">
      <c r="A51" s="281" t="s">
        <v>496</v>
      </c>
      <c r="B51" s="281" t="s">
        <v>497</v>
      </c>
      <c r="C51" s="285" t="s">
        <v>424</v>
      </c>
      <c r="D51" s="285" t="s">
        <v>424</v>
      </c>
      <c r="E51" s="285" t="s">
        <v>424</v>
      </c>
      <c r="F51" s="285" t="s">
        <v>424</v>
      </c>
      <c r="G51" s="286" t="s">
        <v>424</v>
      </c>
      <c r="H51" s="286" t="s">
        <v>424</v>
      </c>
      <c r="I51" s="280" t="s">
        <v>518</v>
      </c>
      <c r="J51" s="281" t="s">
        <v>424</v>
      </c>
      <c r="N51" s="238" t="str">
        <f t="shared" si="0"/>
        <v>M_00.0007.0000074.3.</v>
      </c>
    </row>
    <row r="52" spans="1:14" ht="31.5" x14ac:dyDescent="0.25">
      <c r="A52" s="283" t="s">
        <v>498</v>
      </c>
      <c r="B52" s="281" t="s">
        <v>499</v>
      </c>
      <c r="C52" s="285" t="s">
        <v>424</v>
      </c>
      <c r="D52" s="285" t="s">
        <v>424</v>
      </c>
      <c r="E52" s="285" t="s">
        <v>424</v>
      </c>
      <c r="F52" s="285" t="s">
        <v>424</v>
      </c>
      <c r="G52" s="286" t="s">
        <v>424</v>
      </c>
      <c r="H52" s="286" t="s">
        <v>424</v>
      </c>
      <c r="I52" s="280" t="s">
        <v>518</v>
      </c>
      <c r="J52" s="281" t="s">
        <v>424</v>
      </c>
      <c r="N52" s="238" t="str">
        <f t="shared" si="0"/>
        <v>M_00.0007.0000074.4.</v>
      </c>
    </row>
    <row r="53" spans="1:14" ht="157.5" x14ac:dyDescent="0.25">
      <c r="A53" s="281" t="s">
        <v>500</v>
      </c>
      <c r="B53" s="284" t="s">
        <v>501</v>
      </c>
      <c r="C53" s="285">
        <v>44196</v>
      </c>
      <c r="D53" s="285">
        <v>47097</v>
      </c>
      <c r="E53" s="285">
        <v>44196</v>
      </c>
      <c r="F53" s="285" t="s">
        <v>424</v>
      </c>
      <c r="G53" s="286" t="s">
        <v>641</v>
      </c>
      <c r="H53" s="286" t="s">
        <v>424</v>
      </c>
      <c r="I53" s="280" t="s">
        <v>602</v>
      </c>
      <c r="J53" s="281" t="s">
        <v>642</v>
      </c>
      <c r="N53" s="238" t="str">
        <f t="shared" si="0"/>
        <v>M_00.0007.0000074.5.</v>
      </c>
    </row>
    <row r="54" spans="1:14" x14ac:dyDescent="0.25">
      <c r="A54" s="281" t="s">
        <v>502</v>
      </c>
      <c r="B54" s="281" t="s">
        <v>503</v>
      </c>
      <c r="C54" s="285" t="s">
        <v>424</v>
      </c>
      <c r="D54" s="285" t="s">
        <v>424</v>
      </c>
      <c r="E54" s="285" t="s">
        <v>424</v>
      </c>
      <c r="F54" s="285" t="s">
        <v>424</v>
      </c>
      <c r="G54" s="286" t="s">
        <v>424</v>
      </c>
      <c r="H54" s="286" t="s">
        <v>424</v>
      </c>
      <c r="I54" s="280" t="s">
        <v>518</v>
      </c>
      <c r="J54" s="281" t="s">
        <v>424</v>
      </c>
      <c r="N54" s="238" t="str">
        <f t="shared" si="0"/>
        <v>M_00.0007.0000074.6.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2025-11-11T08:12:59Z</dcterms:modified>
</cp:coreProperties>
</file>